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codeName="EstaPastaDeTrabalho"/>
  <mc:AlternateContent xmlns:mc="http://schemas.openxmlformats.org/markup-compatibility/2006">
    <mc:Choice Requires="x15">
      <x15ac:absPath xmlns:x15ac="http://schemas.microsoft.com/office/spreadsheetml/2010/11/ac" url="/Users/smartadmadm/Library/Mobile Documents/com~apple~CloudDocs/ADMINSTRATIVO/ORGANIZAÇÃO - COLABORADORES/Pasta Patricia/Contas - A Receber e pagar/"/>
    </mc:Choice>
  </mc:AlternateContent>
  <xr:revisionPtr revIDLastSave="0" documentId="13_ncr:1_{DDFF4461-02E4-6C4C-A2C9-670989C3C666}" xr6:coauthVersionLast="47" xr6:coauthVersionMax="47" xr10:uidLastSave="{00000000-0000-0000-0000-000000000000}"/>
  <bookViews>
    <workbookView xWindow="19120" yWindow="500" windowWidth="17500" windowHeight="19400" activeTab="3" xr2:uid="{00000000-000D-0000-FFFF-FFFF00000000}"/>
  </bookViews>
  <sheets>
    <sheet name="INICIO" sheetId="4" r:id="rId1"/>
    <sheet name="1.BAIXA CONTRATOS" sheetId="1" r:id="rId2"/>
    <sheet name="2.BAIXA NOTAS (2)" sheetId="13" state="hidden" r:id="rId3"/>
    <sheet name="TOTAL EM ABERTO CLIENTES (nf)" sheetId="12" r:id="rId4"/>
    <sheet name="3.DOC CLIENTES (NOTAS)" sheetId="10" r:id="rId5"/>
    <sheet name="BASES" sheetId="2" r:id="rId6"/>
    <sheet name="4.Contas PESSOAIS" sheetId="5" r:id="rId7"/>
    <sheet name="5.Contas SMARTH" sheetId="6" r:id="rId8"/>
    <sheet name="6.BALANÇO MENSAL" sheetId="7" r:id="rId9"/>
  </sheets>
  <definedNames>
    <definedName name="_xlnm._FilterDatabase" localSheetId="1" hidden="1">'1.BAIXA CONTRATOS'!$B$1:$K$2</definedName>
    <definedName name="_xlnm._FilterDatabase" localSheetId="2" hidden="1">'2.BAIXA NOTAS (2)'!$L$3:$S$11</definedName>
    <definedName name="RegiãoDoTítuloDaLinha1..E2">'1.BAIXA CONTRATOS'!#REF!</definedName>
    <definedName name="RoomList" localSheetId="2">RoomLookup[]</definedName>
    <definedName name="RoomList">RoomLookup[]</definedName>
    <definedName name="RowTitleRegion2..I2">'1.BAIXA CONTRATOS'!#REF!</definedName>
    <definedName name="RowTitleRegion3..D8">'1.BAIXA CONTRATOS'!#REF!</definedName>
    <definedName name="RowTitleRegion4..I8">'1.BAIXA CONTRATOS'!#REF!</definedName>
    <definedName name="Slicer_Room__area">#N/A</definedName>
    <definedName name="TítuloDaColuna1" localSheetId="2">Inventário[[#Headers],[Codigo]]</definedName>
    <definedName name="TítuloDaColuna1">Inventário[[#Headers],[Codigo]]</definedName>
    <definedName name="TítuloDaColuna2" localSheetId="2">RoomLookup[[#Headers],[Coluna1]]</definedName>
    <definedName name="TítuloDaColuna2">RoomLookup[[#Headers],[Coluna1]]</definedName>
    <definedName name="_xlnm.Print_Titles" localSheetId="1">'1.BAIXA CONTRATOS'!$3:$3</definedName>
    <definedName name="_xlnm.Print_Titles" localSheetId="5">BASES!$3:$3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2" l="1"/>
  <c r="E17" i="12"/>
  <c r="E28" i="12"/>
  <c r="E33" i="12"/>
  <c r="E37" i="12"/>
  <c r="E47" i="12"/>
  <c r="E43" i="12"/>
  <c r="E10" i="12"/>
  <c r="H102" i="13"/>
  <c r="H101" i="13"/>
  <c r="H42" i="13"/>
  <c r="E29" i="13"/>
  <c r="E28" i="13"/>
  <c r="E6" i="13"/>
  <c r="B41" i="1" l="1"/>
  <c r="B42" i="1"/>
  <c r="B43" i="1"/>
  <c r="B44" i="1"/>
  <c r="B45" i="1"/>
  <c r="B46" i="1"/>
  <c r="B47" i="1"/>
  <c r="B48" i="1"/>
  <c r="E40" i="12" l="1"/>
  <c r="E23" i="12"/>
  <c r="E20" i="12"/>
  <c r="K24" i="1" l="1"/>
  <c r="B23" i="1"/>
  <c r="B24" i="1"/>
  <c r="K35" i="1"/>
  <c r="K36" i="1" s="1"/>
  <c r="K37" i="1" s="1"/>
  <c r="E9" i="10" l="1"/>
  <c r="E2" i="10"/>
  <c r="E35" i="10" l="1"/>
  <c r="E37" i="10" s="1"/>
  <c r="B14" i="7"/>
  <c r="G6" i="7"/>
  <c r="G7" i="7"/>
  <c r="C6" i="7"/>
  <c r="K29" i="1"/>
  <c r="B34" i="1"/>
  <c r="B35" i="1"/>
  <c r="B36" i="1"/>
  <c r="B37" i="1"/>
  <c r="B38" i="1"/>
  <c r="B39" i="1"/>
  <c r="B40" i="1"/>
  <c r="B49" i="1"/>
  <c r="K26" i="1"/>
  <c r="K19" i="1"/>
  <c r="K20" i="1" s="1"/>
  <c r="K21" i="1" s="1"/>
  <c r="K22" i="1" s="1"/>
  <c r="K16" i="1"/>
  <c r="K17" i="1" s="1"/>
  <c r="K13" i="1"/>
  <c r="K14" i="1" s="1"/>
  <c r="K12" i="1"/>
  <c r="B17" i="1"/>
  <c r="B18" i="1"/>
  <c r="B19" i="1"/>
  <c r="B20" i="1"/>
  <c r="B21" i="1"/>
  <c r="B22" i="1"/>
  <c r="B25" i="1"/>
  <c r="B26" i="1"/>
  <c r="B27" i="1"/>
  <c r="B28" i="1"/>
  <c r="B29" i="1"/>
  <c r="B30" i="1"/>
  <c r="B31" i="1"/>
  <c r="B32" i="1"/>
  <c r="B33" i="1"/>
  <c r="D31" i="5"/>
  <c r="F3" i="5" s="1"/>
  <c r="D17" i="5"/>
  <c r="F19" i="7"/>
  <c r="E19" i="7"/>
  <c r="D19" i="7"/>
  <c r="G17" i="7"/>
  <c r="G16" i="7"/>
  <c r="G15" i="7"/>
  <c r="G13" i="7"/>
  <c r="G12" i="7"/>
  <c r="J29" i="7"/>
  <c r="G11" i="7"/>
  <c r="G10" i="7"/>
  <c r="G9" i="7"/>
  <c r="C8" i="7"/>
  <c r="B8" i="7"/>
  <c r="N14" i="7"/>
  <c r="N29" i="7" s="1"/>
  <c r="M14" i="7"/>
  <c r="M29" i="7" s="1"/>
  <c r="L14" i="7"/>
  <c r="L29" i="7" s="1"/>
  <c r="K14" i="7"/>
  <c r="K29" i="7" s="1"/>
  <c r="J11" i="7"/>
  <c r="O11" i="7" s="1"/>
  <c r="J10" i="7"/>
  <c r="S15" i="1"/>
  <c r="S14" i="1"/>
  <c r="S13" i="1"/>
  <c r="S12" i="1"/>
  <c r="S11" i="1"/>
  <c r="S10" i="1"/>
  <c r="S9" i="1"/>
  <c r="S8" i="1"/>
  <c r="S7" i="1"/>
  <c r="S6" i="1"/>
  <c r="S5" i="1"/>
  <c r="S4" i="1"/>
  <c r="O4" i="1"/>
  <c r="O5" i="1"/>
  <c r="O6" i="1"/>
  <c r="K5" i="1"/>
  <c r="K6" i="1" s="1"/>
  <c r="K7" i="1" s="1"/>
  <c r="K8" i="1" s="1"/>
  <c r="K9" i="1" s="1"/>
  <c r="K10" i="1" s="1"/>
  <c r="H5" i="1"/>
  <c r="H4" i="1"/>
  <c r="H8" i="1"/>
  <c r="H9" i="1"/>
  <c r="H10" i="1"/>
  <c r="B11" i="1"/>
  <c r="B5" i="1"/>
  <c r="B6" i="1"/>
  <c r="B7" i="1"/>
  <c r="B8" i="1"/>
  <c r="B9" i="1"/>
  <c r="B10" i="1"/>
  <c r="B12" i="1"/>
  <c r="B4" i="1"/>
  <c r="B13" i="1"/>
  <c r="B14" i="1"/>
  <c r="B15" i="1"/>
  <c r="B16" i="1"/>
  <c r="G8" i="7" l="1"/>
  <c r="G19" i="7" s="1"/>
  <c r="C19" i="7"/>
  <c r="B19" i="7"/>
  <c r="O14" i="7"/>
  <c r="O29" i="7" s="1"/>
  <c r="J14" i="7"/>
  <c r="O7" i="1"/>
</calcChain>
</file>

<file path=xl/sharedStrings.xml><?xml version="1.0" encoding="utf-8"?>
<sst xmlns="http://schemas.openxmlformats.org/spreadsheetml/2006/main" count="837" uniqueCount="237">
  <si>
    <t>TOTAIS</t>
  </si>
  <si>
    <t>Nº da Parcela</t>
  </si>
  <si>
    <t>KATIA E SANDRO</t>
  </si>
  <si>
    <t>Sandro &amp; Katia</t>
  </si>
  <si>
    <t>Reforma</t>
  </si>
  <si>
    <t>Coluna1</t>
  </si>
  <si>
    <t>Codigo</t>
  </si>
  <si>
    <t>PARCELA</t>
  </si>
  <si>
    <t>CLIENTE</t>
  </si>
  <si>
    <t>SERVIÇO</t>
  </si>
  <si>
    <t>VENCIMENTO</t>
  </si>
  <si>
    <t>PAGAMENTO</t>
  </si>
  <si>
    <t>A PAGAR</t>
  </si>
  <si>
    <t>PAGO</t>
  </si>
  <si>
    <t>Pagamento Clientes</t>
  </si>
  <si>
    <t>Clientes</t>
  </si>
  <si>
    <t>STATUS</t>
  </si>
  <si>
    <t>Status Clientes</t>
  </si>
  <si>
    <t>Em Aberto</t>
  </si>
  <si>
    <t>Para Orçamento</t>
  </si>
  <si>
    <t>Em Análise</t>
  </si>
  <si>
    <t>Fechado</t>
  </si>
  <si>
    <t>Apresentar Orçamento</t>
  </si>
  <si>
    <t>Emissão de Contrato</t>
  </si>
  <si>
    <t>Projeto</t>
  </si>
  <si>
    <t>Visita</t>
  </si>
  <si>
    <t>Em Prospecção</t>
  </si>
  <si>
    <t>Em andamento</t>
  </si>
  <si>
    <t>EM ATRASO</t>
  </si>
  <si>
    <t>A RECEBER</t>
  </si>
  <si>
    <t>TOTAL GERAL</t>
  </si>
  <si>
    <t>CLIENTE 8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</si>
  <si>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</si>
  <si>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</si>
  <si>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</si>
  <si>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</si>
  <si>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</si>
  <si>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</si>
  <si>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</si>
  <si>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</si>
  <si>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</si>
  <si>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</si>
  <si>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</si>
  <si>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</si>
  <si>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</si>
  <si>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POR MÊS - 2023</t>
  </si>
  <si>
    <t>Contas a Pagar - AGOSTO</t>
  </si>
  <si>
    <t>Total Geral:</t>
  </si>
  <si>
    <t>Data</t>
  </si>
  <si>
    <t>Descricao</t>
  </si>
  <si>
    <t>Valor</t>
  </si>
  <si>
    <t>Meio de Pagamento</t>
  </si>
  <si>
    <t>Pago/ A pagar</t>
  </si>
  <si>
    <t xml:space="preserve">ALUGUEL </t>
  </si>
  <si>
    <t>NOVA TOLEDO</t>
  </si>
  <si>
    <t xml:space="preserve">CONDOMINIO </t>
  </si>
  <si>
    <t>VENANCIO</t>
  </si>
  <si>
    <t>ESCOLA DOS MENINOS</t>
  </si>
  <si>
    <t>ZOOP</t>
  </si>
  <si>
    <t xml:space="preserve">CONVÊNIO </t>
  </si>
  <si>
    <t>SÃO FRANCISCO</t>
  </si>
  <si>
    <t>ANALU (BABA)</t>
  </si>
  <si>
    <t>FUNCIONARIA</t>
  </si>
  <si>
    <t xml:space="preserve">MARIA DEUSA </t>
  </si>
  <si>
    <t>ITURAN SEGURO</t>
  </si>
  <si>
    <t>-</t>
  </si>
  <si>
    <t>CONSORCIO</t>
  </si>
  <si>
    <t>IPTU</t>
  </si>
  <si>
    <t>DEPOSITO</t>
  </si>
  <si>
    <t>GAS SPLENDOR</t>
  </si>
  <si>
    <t>C6 ( Fechamento 30)</t>
  </si>
  <si>
    <t>CARTAO</t>
  </si>
  <si>
    <t>PJ Bradesco (Fechamento 01)</t>
  </si>
  <si>
    <t>Bradesco</t>
  </si>
  <si>
    <t>Santander Visa Unique</t>
  </si>
  <si>
    <t>santander visa gol (Fechamento 02)</t>
  </si>
  <si>
    <t>santander master (Fechamento 26)</t>
  </si>
  <si>
    <t>santander smile (Fechamento 09)</t>
  </si>
  <si>
    <t>santander american (Fechamento 09)</t>
  </si>
  <si>
    <t>Cartao Advantage</t>
  </si>
  <si>
    <t>Cartao Ita</t>
  </si>
  <si>
    <t>Nu Bank</t>
  </si>
  <si>
    <t>Classificação</t>
  </si>
  <si>
    <t>Observação</t>
  </si>
  <si>
    <t>ACESSOS</t>
  </si>
  <si>
    <t>Funcionario (a)</t>
  </si>
  <si>
    <t>Deposito em conta</t>
  </si>
  <si>
    <t>Referente 01 a 31/07</t>
  </si>
  <si>
    <t>ENERGIA ESCRITORIO</t>
  </si>
  <si>
    <t>obras.smarttech@gmail.com</t>
  </si>
  <si>
    <t>Smart@2021</t>
  </si>
  <si>
    <t>MARIA DEUSA</t>
  </si>
  <si>
    <t>ADVOGADO</t>
  </si>
  <si>
    <t>PIX</t>
  </si>
  <si>
    <t>433.674.788-14</t>
  </si>
  <si>
    <t>CESTA BASICA</t>
  </si>
  <si>
    <t>BOLETO</t>
  </si>
  <si>
    <t>EMPRESTIMO</t>
  </si>
  <si>
    <t>ALUGUEL</t>
  </si>
  <si>
    <t>CONDOMINIO</t>
  </si>
  <si>
    <t>EDP ESCRITORIO</t>
  </si>
  <si>
    <t>MARKETING</t>
  </si>
  <si>
    <t>Balanço Contas a Pagar por mês - SMART TECH</t>
  </si>
  <si>
    <t>Balanço Contas a Pagar por mês - PESSOAL</t>
  </si>
  <si>
    <t>Provisão</t>
  </si>
  <si>
    <t>AGOSTO</t>
  </si>
  <si>
    <t>SETEMBRO</t>
  </si>
  <si>
    <t>OUTUBRO</t>
  </si>
  <si>
    <t xml:space="preserve">NOVEMBRO </t>
  </si>
  <si>
    <t>DEZEMBRO</t>
  </si>
  <si>
    <t>Total</t>
  </si>
  <si>
    <t>ESCOLA</t>
  </si>
  <si>
    <t>SAÚDE</t>
  </si>
  <si>
    <t xml:space="preserve">ESPORTE </t>
  </si>
  <si>
    <t>ANALU</t>
  </si>
  <si>
    <t xml:space="preserve">OUTROS </t>
  </si>
  <si>
    <t>Total por mês:</t>
  </si>
  <si>
    <t>CARTOES</t>
  </si>
  <si>
    <t>bradesco (Fechamento 01)</t>
  </si>
  <si>
    <t>santander visa (Fechamento 02)</t>
  </si>
  <si>
    <t>ALUGUEL DEPOSITO</t>
  </si>
  <si>
    <t>EMPRESTIMO (Vencimento 20)</t>
  </si>
  <si>
    <t>CONTABILIDADE</t>
  </si>
  <si>
    <t>CARTÃO PJ</t>
  </si>
  <si>
    <t>TOTAL:</t>
  </si>
  <si>
    <t xml:space="preserve"> </t>
  </si>
  <si>
    <t>COLABORADORES</t>
  </si>
  <si>
    <t>ADVOGADO NOVO - CONSULTA</t>
  </si>
  <si>
    <t xml:space="preserve">ADVOGADO NOVO   </t>
  </si>
  <si>
    <t>DAVI E GRAZIELA</t>
  </si>
  <si>
    <t>MARCIO HENRIQUE</t>
  </si>
  <si>
    <t>BRENO E ANDREA</t>
  </si>
  <si>
    <t>ELIZANDRA (TAUBATE)</t>
  </si>
  <si>
    <t>Automacao</t>
  </si>
  <si>
    <t>JOAO E CAMILA</t>
  </si>
  <si>
    <t>PATRICIA</t>
  </si>
  <si>
    <t>TARSIS  E RENATA</t>
  </si>
  <si>
    <t>AJUDA DE CUSTO (TRANSPORTE)</t>
  </si>
  <si>
    <t>CONDOMINIO (ESCRITORIO)</t>
  </si>
  <si>
    <t>RAQUEL (RELACOES PUBLICAS)</t>
  </si>
  <si>
    <t>ADVOGADO NOVO</t>
  </si>
  <si>
    <t>Valor Cobrado</t>
  </si>
  <si>
    <t>Valor PAGO</t>
  </si>
  <si>
    <t>Nota Fiscal</t>
  </si>
  <si>
    <t>Fornecedor</t>
  </si>
  <si>
    <t>BRENO</t>
  </si>
  <si>
    <t>STR</t>
  </si>
  <si>
    <t>DAVI</t>
  </si>
  <si>
    <t>CUPOM</t>
  </si>
  <si>
    <t>SODIMAC</t>
  </si>
  <si>
    <t>Comprado com credito que restou da troca da policorte</t>
  </si>
  <si>
    <t>Notas a RECEBER</t>
  </si>
  <si>
    <t>O espaço reservado para o Logotipo está nesta célula.</t>
  </si>
  <si>
    <t>SMART TECH - OBRAS INTELIGENTES</t>
  </si>
  <si>
    <t>Compras para:</t>
  </si>
  <si>
    <r>
      <t xml:space="preserve">Chave PIX (Cnpj): </t>
    </r>
    <r>
      <rPr>
        <sz val="14"/>
        <color rgb="FF211F33"/>
        <rFont val="Arial"/>
        <family val="2"/>
      </rPr>
      <t>41.767.375/0001-69</t>
    </r>
  </si>
  <si>
    <t>Qtd.</t>
  </si>
  <si>
    <t>Nº doc</t>
  </si>
  <si>
    <t>Descrição</t>
  </si>
  <si>
    <t>Preço unitário</t>
  </si>
  <si>
    <t xml:space="preserve">Total </t>
  </si>
  <si>
    <t>Subtotal</t>
  </si>
  <si>
    <t>Endereço:Avenida Salmão, 665 - Sala 75 - Jardim Aquarius - São José dos Campos - SP</t>
  </si>
  <si>
    <t>E-mail: obras.smarttech@gmail.com</t>
  </si>
  <si>
    <t>Contato: (12) 99149-7300</t>
  </si>
  <si>
    <t>Mês</t>
  </si>
  <si>
    <t>Periodo (DIA)</t>
  </si>
  <si>
    <t>Período: 21/08 a 25/08</t>
  </si>
  <si>
    <t>JM CENTER</t>
  </si>
  <si>
    <t>INFORMADO PELO GUILHERME DIA 22/08</t>
  </si>
  <si>
    <t>CUPOM FISCAL</t>
  </si>
  <si>
    <t>SMART</t>
  </si>
  <si>
    <t>CONTAS FIXAS - AGOSTO</t>
  </si>
  <si>
    <t>GASTOS - AGOSTO</t>
  </si>
  <si>
    <t>Conserto - CARRO HONDA FIT</t>
  </si>
  <si>
    <t>CARTAO CREDITO</t>
  </si>
  <si>
    <t>ENVIADO</t>
  </si>
  <si>
    <r>
      <t xml:space="preserve">Forma de Pagamento: </t>
    </r>
    <r>
      <rPr>
        <sz val="14"/>
        <color rgb="FF211F33"/>
        <rFont val="Arial"/>
        <family val="2"/>
      </rPr>
      <t>PIX em conta</t>
    </r>
  </si>
  <si>
    <t>PRONTO</t>
  </si>
  <si>
    <t>NÃO ENVIAR</t>
  </si>
  <si>
    <t>ENVIO</t>
  </si>
  <si>
    <t>Cliente Davi e Graziela</t>
  </si>
  <si>
    <t>EXTENSAO CURTA  CR 1/</t>
  </si>
  <si>
    <t>10/07 a 06/08</t>
  </si>
  <si>
    <t>07/08 a 11/08</t>
  </si>
  <si>
    <t>MARCIO</t>
  </si>
  <si>
    <t>14/08 a 18/08</t>
  </si>
  <si>
    <t>Cris</t>
  </si>
  <si>
    <t>Semana</t>
  </si>
  <si>
    <t>Cliente</t>
  </si>
  <si>
    <t>Status</t>
  </si>
  <si>
    <t>Pagamento EM ABERTO</t>
  </si>
  <si>
    <t>28/08 a 01/09</t>
  </si>
  <si>
    <t>TARSIS</t>
  </si>
  <si>
    <t>BARUERI</t>
  </si>
  <si>
    <t>FERRAGENS CICERO</t>
  </si>
  <si>
    <t>RAFAEL</t>
  </si>
  <si>
    <t>KATIA</t>
  </si>
  <si>
    <t>ANALISE GUILHERME</t>
  </si>
  <si>
    <t>Guilherme informou via whatsapp 01/09</t>
  </si>
  <si>
    <t>Pintura</t>
  </si>
  <si>
    <t>OBSERVAÇÃO</t>
  </si>
  <si>
    <t>Não tem data ainda, somente quando inciar a programacao</t>
  </si>
  <si>
    <t>Tau, vai me passar o que falta</t>
  </si>
  <si>
    <t>EDSON</t>
  </si>
  <si>
    <t>DAVI ADITIVO</t>
  </si>
  <si>
    <t>04/09 a 08/09</t>
  </si>
  <si>
    <t>NFs 545 e 546, restabte informado pelo Guilherme whatsapp comercial e adm</t>
  </si>
  <si>
    <t>21/08 a 25/08</t>
  </si>
  <si>
    <t>Não encontrei comprovante</t>
  </si>
  <si>
    <t>Precisa verificar se estao nos valores que passou cartao</t>
  </si>
  <si>
    <t>JULHO</t>
  </si>
  <si>
    <t>CRIS</t>
  </si>
  <si>
    <t>TOTAL EM ABERTO DE CLIENTES (Notas Fiscais)</t>
  </si>
  <si>
    <t>Aguardando Tauane revisar, se esta faltando algo para acrescentar (Informado Tau, dia 12/09 novamente)</t>
  </si>
  <si>
    <t>FABI</t>
  </si>
  <si>
    <t>Guilherme informou que já foi pago</t>
  </si>
  <si>
    <t>Guilherme informoi pessoalmente 14/09</t>
  </si>
  <si>
    <t>BRENO/ ANDREA</t>
  </si>
  <si>
    <t>CRISTINA</t>
  </si>
  <si>
    <t>04/09 a 13/09</t>
  </si>
  <si>
    <t>PADARIA PAMPULHA</t>
  </si>
  <si>
    <t>CANCELADA</t>
  </si>
  <si>
    <t>=</t>
  </si>
  <si>
    <t>NÃO ENVIADO, TAUANE SOLICITOU PARA AGUARDAR</t>
  </si>
  <si>
    <t>14/09 A 22/09</t>
  </si>
  <si>
    <t>INFORMOU QUE VAI PAGAR JUNTAMENTE COM RESTANTE (TAUANE AUTORIZOU)</t>
  </si>
  <si>
    <t>ENVIADO 22/08 - Não encontrado o comprovante 27/09</t>
  </si>
  <si>
    <t>ENVIADO 11/08 - Não encontrado o comprovante 27/09</t>
  </si>
  <si>
    <t>ENVIADO 14/08 - Não encontrado o comprovante 27/09</t>
  </si>
  <si>
    <t xml:space="preserve">ENVIADO 28/07 - Não encontrado o comprovante 27/09		</t>
  </si>
  <si>
    <t>Pago 17.300,00 em dinheiro e 2.700,00 via Pix</t>
  </si>
  <si>
    <t>14/09 a 22/09</t>
  </si>
  <si>
    <t>25/09 a 29/09</t>
  </si>
  <si>
    <t>ALEXANDRE</t>
  </si>
  <si>
    <t>PAMPULHA</t>
  </si>
  <si>
    <t>Verificar anotacoes Tauane, se abateu 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</si>
</sst>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[&lt;=9999999]###\-####;\(###\)\ ###\-####"/>
    <numFmt numFmtId="165" formatCode="0_ ;\-0\ "/>
    <numFmt numFmtId="166" formatCode="dd\.mm\.yyyy;@"/>
    <numFmt numFmtId="167" formatCode=";;;"/>
    <numFmt numFmtId="168" formatCode="d/m/yy;@"/>
  </numFmts>
  <fonts count="5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2" tint="-0.499984740745262"/>
      <name val="Corbel"/>
      <family val="2"/>
      <scheme val="major"/>
    </font>
    <font>
      <b/>
      <sz val="16"/>
      <color theme="2" tint="-0.749961851863155"/>
      <name val="Corbel"/>
      <family val="2"/>
      <scheme val="major"/>
    </font>
    <font>
      <b/>
      <sz val="11"/>
      <color theme="2" tint="-0.749961851863155"/>
      <name val="Corbel"/>
      <family val="2"/>
      <scheme val="major"/>
    </font>
    <font>
      <sz val="11"/>
      <color theme="0"/>
      <name val="Calibri"/>
      <family val="2"/>
      <scheme val="minor"/>
    </font>
    <font>
      <b/>
      <sz val="26"/>
      <color theme="3"/>
      <name val="Corbel"/>
      <family val="2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36"/>
      <color rgb="FF211F36"/>
      <name val="Corbel"/>
      <family val="2"/>
      <scheme val="major"/>
    </font>
    <font>
      <b/>
      <sz val="1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48"/>
      <color theme="6"/>
      <name val="Corbel"/>
      <family val="2"/>
      <scheme val="major"/>
    </font>
    <font>
      <b/>
      <sz val="36"/>
      <color rgb="FF211F33"/>
      <name val="Arial"/>
      <family val="2"/>
    </font>
    <font>
      <sz val="10"/>
      <color theme="1" tint="0.249977111117893"/>
      <name val="Arial"/>
      <family val="2"/>
    </font>
    <font>
      <b/>
      <sz val="12"/>
      <color theme="6"/>
      <name val="Calibri"/>
      <family val="2"/>
      <scheme val="minor"/>
    </font>
    <font>
      <b/>
      <sz val="14"/>
      <color rgb="FF211F33"/>
      <name val="Arial"/>
      <family val="2"/>
    </font>
    <font>
      <b/>
      <sz val="14"/>
      <color theme="6"/>
      <name val="Arial"/>
      <family val="2"/>
    </font>
    <font>
      <b/>
      <sz val="10"/>
      <color theme="6"/>
      <name val="Calibri"/>
      <family val="1"/>
      <scheme val="minor"/>
    </font>
    <font>
      <sz val="14"/>
      <color theme="1" tint="0.249977111117893"/>
      <name val="Arial"/>
      <family val="2"/>
    </font>
    <font>
      <sz val="14"/>
      <color rgb="FF211F33"/>
      <name val="Arial"/>
      <family val="2"/>
    </font>
    <font>
      <sz val="8"/>
      <color theme="1" tint="0.249977111117893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211F33"/>
      <name val="Arial"/>
      <family val="2"/>
    </font>
    <font>
      <b/>
      <sz val="16"/>
      <color theme="0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749961851863155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211F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11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5" tint="0.79992065187536243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/>
      <bottom style="thick">
        <color theme="0"/>
      </bottom>
      <diagonal/>
    </border>
    <border>
      <left style="thin">
        <color theme="3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Fill="0" applyBorder="0">
      <alignment horizontal="left" vertical="center" wrapText="1" indent="1"/>
    </xf>
    <xf numFmtId="0" fontId="10" fillId="2" borderId="2" applyAlignment="0">
      <alignment horizontal="left" vertical="center" indent="1"/>
    </xf>
    <xf numFmtId="0" fontId="11" fillId="3" borderId="2" applyAlignment="0">
      <alignment horizontal="left" vertical="center" indent="1"/>
    </xf>
    <xf numFmtId="0" fontId="5" fillId="0" borderId="1" applyNumberFormat="0" applyFill="0" applyAlignment="0" applyProtection="0"/>
    <xf numFmtId="0" fontId="13" fillId="0" borderId="0" applyFill="0" applyBorder="0">
      <alignment vertical="center" wrapText="1"/>
    </xf>
    <xf numFmtId="0" fontId="11" fillId="0" borderId="0">
      <alignment horizontal="right" vertical="center" indent="1"/>
    </xf>
    <xf numFmtId="165" fontId="8" fillId="0" borderId="0" applyFont="0" applyFill="0" applyBorder="0" applyProtection="0">
      <alignment horizontal="center" vertical="center"/>
    </xf>
    <xf numFmtId="7" fontId="7" fillId="2" borderId="0" applyFill="0" applyBorder="0">
      <alignment horizontal="right" vertical="center"/>
    </xf>
    <xf numFmtId="7" fontId="8" fillId="0" borderId="0" applyFont="0" applyFill="0" applyBorder="0" applyProtection="0">
      <alignment horizontal="right" vertical="center" indent="1"/>
    </xf>
    <xf numFmtId="0" fontId="6" fillId="3" borderId="2" applyAlignment="0">
      <alignment horizontal="left" vertical="center" wrapText="1" indent="1"/>
    </xf>
    <xf numFmtId="0" fontId="9" fillId="0" borderId="0">
      <alignment horizontal="left" vertical="center"/>
    </xf>
    <xf numFmtId="14" fontId="7" fillId="0" borderId="0" applyFill="0" applyBorder="0" applyAlignment="0">
      <alignment horizontal="right" vertical="center"/>
    </xf>
    <xf numFmtId="164" fontId="8" fillId="0" borderId="0" applyFont="0" applyFill="0" applyBorder="0" applyAlignment="0">
      <alignment wrapText="1"/>
    </xf>
    <xf numFmtId="14" fontId="8" fillId="0" borderId="0" applyFont="0" applyFill="0" applyBorder="0">
      <alignment horizontal="center" vertical="center" wrapText="1"/>
    </xf>
    <xf numFmtId="49" fontId="8" fillId="0" borderId="0" applyFont="0" applyFill="0" applyBorder="0">
      <alignment horizontal="center" vertical="center" wrapText="1"/>
    </xf>
    <xf numFmtId="0" fontId="6" fillId="2" borderId="0">
      <alignment horizontal="left" vertical="center" wrapText="1"/>
    </xf>
    <xf numFmtId="0" fontId="12" fillId="4" borderId="0" applyBorder="0">
      <alignment horizontal="center" vertical="center"/>
    </xf>
    <xf numFmtId="0" fontId="12" fillId="0" borderId="0">
      <alignment vertical="center" wrapText="1"/>
    </xf>
    <xf numFmtId="0" fontId="34" fillId="0" borderId="0">
      <alignment horizontal="right" vertical="center"/>
    </xf>
    <xf numFmtId="0" fontId="37" fillId="0" borderId="0" applyFill="0" applyBorder="0" applyAlignment="0" applyProtection="0"/>
    <xf numFmtId="0" fontId="40" fillId="0" borderId="0">
      <alignment horizontal="right"/>
    </xf>
    <xf numFmtId="0" fontId="40" fillId="0" borderId="0">
      <alignment horizontal="center" vertical="center"/>
    </xf>
    <xf numFmtId="165" fontId="8" fillId="0" borderId="0" applyFont="0" applyFill="0" applyBorder="0" applyProtection="0">
      <alignment horizontal="center" vertical="center"/>
    </xf>
  </cellStyleXfs>
  <cellXfs count="202">
    <xf numFmtId="0" fontId="0" fillId="0" borderId="0" xfId="0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0" fontId="6" fillId="2" borderId="0" xfId="15">
      <alignment horizontal="left" vertical="center" wrapText="1"/>
    </xf>
    <xf numFmtId="0" fontId="13" fillId="0" borderId="0" xfId="4">
      <alignment vertical="center" wrapText="1"/>
    </xf>
    <xf numFmtId="0" fontId="12" fillId="0" borderId="0" xfId="17">
      <alignment vertical="center" wrapText="1"/>
    </xf>
    <xf numFmtId="165" fontId="0" fillId="0" borderId="0" xfId="6" applyFont="1">
      <alignment horizontal="center" vertical="center"/>
    </xf>
    <xf numFmtId="14" fontId="0" fillId="0" borderId="0" xfId="13" applyFont="1">
      <alignment horizontal="center" vertical="center" wrapText="1"/>
    </xf>
    <xf numFmtId="165" fontId="0" fillId="0" borderId="0" xfId="6" applyFont="1" applyFill="1">
      <alignment horizontal="center" vertical="center"/>
    </xf>
    <xf numFmtId="14" fontId="0" fillId="0" borderId="0" xfId="13" applyFont="1" applyFill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2" fillId="0" borderId="0" xfId="16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13" applyNumberFormat="1" applyFont="1">
      <alignment horizontal="center" vertical="center" wrapText="1"/>
    </xf>
    <xf numFmtId="44" fontId="0" fillId="0" borderId="0" xfId="0" applyNumberFormat="1" applyFill="1" applyBorder="1">
      <alignment horizontal="left" vertical="center" wrapText="1" indent="1"/>
    </xf>
    <xf numFmtId="44" fontId="0" fillId="0" borderId="0" xfId="13" applyNumberFormat="1" applyFont="1">
      <alignment horizontal="center" vertical="center" wrapText="1"/>
    </xf>
    <xf numFmtId="44" fontId="0" fillId="0" borderId="0" xfId="13" applyNumberFormat="1" applyFont="1" applyFill="1">
      <alignment horizontal="center" vertical="center" wrapText="1"/>
    </xf>
    <xf numFmtId="44" fontId="0" fillId="0" borderId="0" xfId="0" applyNumberFormat="1" applyFill="1">
      <alignment horizontal="left" vertical="center" wrapText="1" indent="1"/>
    </xf>
    <xf numFmtId="44" fontId="0" fillId="0" borderId="0" xfId="0" applyNumberFormat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4" fontId="5" fillId="0" borderId="0" xfId="13" applyFont="1">
      <alignment horizontal="center" vertical="center" wrapText="1"/>
    </xf>
    <xf numFmtId="14" fontId="5" fillId="0" borderId="0" xfId="13" applyFont="1" applyFill="1">
      <alignment horizontal="center" vertical="center" wrapText="1"/>
    </xf>
    <xf numFmtId="0" fontId="12" fillId="8" borderId="0" xfId="16" applyFill="1">
      <alignment horizontal="center" vertical="center"/>
    </xf>
    <xf numFmtId="0" fontId="0" fillId="8" borderId="0" xfId="0" applyFill="1" applyAlignment="1">
      <alignment horizontal="center" vertical="center" wrapText="1"/>
    </xf>
    <xf numFmtId="44" fontId="0" fillId="8" borderId="0" xfId="0" applyNumberFormat="1" applyFill="1" applyAlignment="1">
      <alignment horizontal="center" vertical="center" wrapText="1"/>
    </xf>
    <xf numFmtId="0" fontId="12" fillId="8" borderId="0" xfId="0" applyFont="1" applyFill="1" applyBorder="1">
      <alignment horizontal="left" vertical="center" wrapText="1" indent="1"/>
    </xf>
    <xf numFmtId="44" fontId="12" fillId="8" borderId="0" xfId="0" applyNumberFormat="1" applyFont="1" applyFill="1" applyBorder="1">
      <alignment horizontal="left" vertical="center" wrapText="1" indent="1"/>
    </xf>
    <xf numFmtId="0" fontId="12" fillId="8" borderId="0" xfId="0" applyFont="1" applyFill="1" applyBorder="1" applyAlignment="1">
      <alignment horizontal="center" vertical="center" wrapText="1"/>
    </xf>
    <xf numFmtId="0" fontId="0" fillId="0" borderId="0" xfId="13" applyNumberFormat="1" applyFont="1" applyFill="1">
      <alignment horizontal="center" vertical="center" wrapText="1"/>
    </xf>
    <xf numFmtId="44" fontId="5" fillId="0" borderId="0" xfId="0" applyNumberFormat="1" applyFont="1">
      <alignment horizontal="left" vertical="center" wrapText="1" indent="1"/>
    </xf>
    <xf numFmtId="44" fontId="5" fillId="0" borderId="0" xfId="13" applyNumberFormat="1" applyFont="1" applyFill="1">
      <alignment horizontal="center" vertical="center" wrapText="1"/>
    </xf>
    <xf numFmtId="0" fontId="0" fillId="0" borderId="0" xfId="0" applyFill="1" applyAlignment="1">
      <alignment vertical="center" wrapText="1"/>
    </xf>
    <xf numFmtId="0" fontId="19" fillId="0" borderId="0" xfId="0" applyFont="1" applyAlignment="1">
      <alignment horizontal="right" vertical="center"/>
    </xf>
    <xf numFmtId="44" fontId="20" fillId="0" borderId="0" xfId="0" applyNumberFormat="1" applyFont="1" applyAlignment="1">
      <alignment horizontal="center" vertical="center"/>
    </xf>
    <xf numFmtId="0" fontId="0" fillId="0" borderId="0" xfId="0" applyAlignme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4" fontId="19" fillId="0" borderId="0" xfId="0" applyNumberFormat="1" applyFont="1" applyAlignment="1">
      <alignment horizontal="center" vertical="center"/>
    </xf>
    <xf numFmtId="0" fontId="21" fillId="8" borderId="0" xfId="0" applyFont="1" applyFill="1" applyAlignment="1">
      <alignment horizontal="center"/>
    </xf>
    <xf numFmtId="44" fontId="21" fillId="8" borderId="0" xfId="0" applyNumberFormat="1" applyFont="1" applyFill="1" applyAlignment="1">
      <alignment horizontal="center"/>
    </xf>
    <xf numFmtId="0" fontId="22" fillId="0" borderId="0" xfId="0" applyFont="1" applyAlignment="1"/>
    <xf numFmtId="166" fontId="3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4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/>
    <xf numFmtId="44" fontId="17" fillId="8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/>
    <xf numFmtId="166" fontId="21" fillId="8" borderId="0" xfId="0" applyNumberFormat="1" applyFont="1" applyFill="1" applyAlignment="1">
      <alignment horizontal="center" vertical="center"/>
    </xf>
    <xf numFmtId="44" fontId="21" fillId="8" borderId="0" xfId="0" applyNumberFormat="1" applyFont="1" applyFill="1" applyAlignment="1">
      <alignment horizontal="center" vertical="center"/>
    </xf>
    <xf numFmtId="44" fontId="3" fillId="3" borderId="4" xfId="0" applyNumberFormat="1" applyFont="1" applyFill="1" applyBorder="1" applyAlignment="1">
      <alignment vertical="center"/>
    </xf>
    <xf numFmtId="0" fontId="21" fillId="8" borderId="4" xfId="0" applyFont="1" applyFill="1" applyBorder="1" applyAlignment="1">
      <alignment horizontal="right" vertical="center"/>
    </xf>
    <xf numFmtId="44" fontId="25" fillId="6" borderId="0" xfId="0" applyNumberFormat="1" applyFont="1" applyFill="1" applyAlignment="1">
      <alignment vertical="center"/>
    </xf>
    <xf numFmtId="166" fontId="17" fillId="8" borderId="0" xfId="0" applyNumberFormat="1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4" fontId="17" fillId="8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166" fontId="3" fillId="0" borderId="0" xfId="0" applyNumberFormat="1" applyFont="1" applyAlignment="1">
      <alignment horizontal="center"/>
    </xf>
    <xf numFmtId="44" fontId="22" fillId="3" borderId="4" xfId="0" applyNumberFormat="1" applyFont="1" applyFill="1" applyBorder="1" applyAlignment="1">
      <alignment vertical="center"/>
    </xf>
    <xf numFmtId="44" fontId="22" fillId="3" borderId="4" xfId="0" applyNumberFormat="1" applyFont="1" applyFill="1" applyBorder="1" applyAlignment="1">
      <alignment horizontal="center" vertical="center"/>
    </xf>
    <xf numFmtId="44" fontId="22" fillId="0" borderId="0" xfId="0" applyNumberFormat="1" applyFont="1" applyAlignment="1"/>
    <xf numFmtId="44" fontId="22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4" fillId="6" borderId="0" xfId="0" applyFont="1" applyFill="1" applyAlignment="1">
      <alignment horizontal="right" vertical="center"/>
    </xf>
    <xf numFmtId="44" fontId="28" fillId="0" borderId="0" xfId="0" applyNumberFormat="1" applyFont="1" applyAlignment="1">
      <alignment horizontal="center"/>
    </xf>
    <xf numFmtId="0" fontId="29" fillId="8" borderId="4" xfId="0" applyFont="1" applyFill="1" applyBorder="1" applyAlignment="1">
      <alignment vertical="center"/>
    </xf>
    <xf numFmtId="44" fontId="30" fillId="3" borderId="4" xfId="0" applyNumberFormat="1" applyFont="1" applyFill="1" applyBorder="1" applyAlignment="1">
      <alignment horizontal="center"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28" fillId="3" borderId="4" xfId="0" applyNumberFormat="1" applyFont="1" applyFill="1" applyBorder="1" applyAlignment="1">
      <alignment vertical="center"/>
    </xf>
    <xf numFmtId="44" fontId="21" fillId="8" borderId="4" xfId="0" applyNumberFormat="1" applyFont="1" applyFill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44" fontId="29" fillId="7" borderId="4" xfId="0" applyNumberFormat="1" applyFont="1" applyFill="1" applyBorder="1" applyAlignment="1">
      <alignment vertical="center"/>
    </xf>
    <xf numFmtId="44" fontId="29" fillId="7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44" fontId="22" fillId="0" borderId="4" xfId="0" applyNumberFormat="1" applyFont="1" applyBorder="1" applyAlignment="1">
      <alignment horizontal="center" vertical="center"/>
    </xf>
    <xf numFmtId="44" fontId="22" fillId="0" borderId="4" xfId="0" applyNumberFormat="1" applyFont="1" applyBorder="1" applyAlignment="1">
      <alignment vertical="center"/>
    </xf>
    <xf numFmtId="44" fontId="21" fillId="8" borderId="4" xfId="0" applyNumberFormat="1" applyFont="1" applyFill="1" applyBorder="1" applyAlignment="1">
      <alignment horizontal="center" vertical="center"/>
    </xf>
    <xf numFmtId="165" fontId="22" fillId="0" borderId="0" xfId="6" applyFont="1" applyFill="1">
      <alignment horizontal="center" vertical="center"/>
    </xf>
    <xf numFmtId="0" fontId="31" fillId="8" borderId="0" xfId="16" applyFont="1" applyFill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36" fillId="0" borderId="0" xfId="0" applyFont="1" applyAlignment="1">
      <alignment vertical="center"/>
    </xf>
    <xf numFmtId="14" fontId="41" fillId="0" borderId="0" xfId="0" applyNumberFormat="1" applyFont="1" applyAlignment="1">
      <alignment horizontal="left"/>
    </xf>
    <xf numFmtId="0" fontId="36" fillId="0" borderId="0" xfId="0" applyFont="1" applyAlignment="1"/>
    <xf numFmtId="44" fontId="41" fillId="0" borderId="9" xfId="0" applyNumberFormat="1" applyFont="1" applyBorder="1" applyAlignment="1">
      <alignment horizontal="left" vertical="top"/>
    </xf>
    <xf numFmtId="0" fontId="36" fillId="0" borderId="0" xfId="0" applyFont="1" applyAlignment="1">
      <alignment vertical="top"/>
    </xf>
    <xf numFmtId="0" fontId="38" fillId="0" borderId="0" xfId="20" applyFont="1">
      <alignment horizontal="right"/>
    </xf>
    <xf numFmtId="0" fontId="41" fillId="9" borderId="0" xfId="0" applyFont="1" applyFill="1" applyAlignment="1">
      <alignment horizontal="left"/>
    </xf>
    <xf numFmtId="44" fontId="41" fillId="9" borderId="0" xfId="0" applyNumberFormat="1" applyFont="1" applyFill="1" applyAlignment="1">
      <alignment horizontal="left"/>
    </xf>
    <xf numFmtId="44" fontId="41" fillId="9" borderId="0" xfId="0" applyNumberFormat="1" applyFont="1" applyFill="1" applyAlignment="1"/>
    <xf numFmtId="0" fontId="43" fillId="0" borderId="0" xfId="0" applyFont="1" applyAlignment="1"/>
    <xf numFmtId="0" fontId="38" fillId="0" borderId="0" xfId="20" applyFont="1" applyAlignment="1">
      <alignment horizontal="left"/>
    </xf>
    <xf numFmtId="168" fontId="41" fillId="0" borderId="0" xfId="0" applyNumberFormat="1" applyFont="1" applyAlignment="1"/>
    <xf numFmtId="0" fontId="41" fillId="0" borderId="0" xfId="0" applyFont="1" applyAlignment="1"/>
    <xf numFmtId="44" fontId="41" fillId="0" borderId="0" xfId="0" applyNumberFormat="1" applyFont="1" applyAlignment="1"/>
    <xf numFmtId="0" fontId="44" fillId="10" borderId="0" xfId="0" applyFont="1" applyFill="1" applyAlignment="1">
      <alignment horizontal="center" vertical="center"/>
    </xf>
    <xf numFmtId="44" fontId="44" fillId="10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44" fontId="45" fillId="0" borderId="0" xfId="0" applyNumberFormat="1" applyFont="1" applyAlignment="1">
      <alignment horizontal="right" vertical="center"/>
    </xf>
    <xf numFmtId="44" fontId="45" fillId="11" borderId="0" xfId="0" applyNumberFormat="1" applyFont="1" applyFill="1" applyAlignment="1">
      <alignment horizontal="right" vertical="center"/>
    </xf>
    <xf numFmtId="0" fontId="45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horizontal="left" vertical="center"/>
    </xf>
    <xf numFmtId="2" fontId="41" fillId="9" borderId="0" xfId="0" applyNumberFormat="1" applyFont="1" applyFill="1" applyAlignment="1">
      <alignment horizontal="left" vertical="center"/>
    </xf>
    <xf numFmtId="0" fontId="41" fillId="9" borderId="0" xfId="0" applyFont="1" applyFill="1" applyAlignment="1">
      <alignment horizontal="left" vertical="center"/>
    </xf>
    <xf numFmtId="44" fontId="39" fillId="0" borderId="0" xfId="20" applyNumberFormat="1" applyFont="1">
      <alignment horizontal="right"/>
    </xf>
    <xf numFmtId="44" fontId="41" fillId="9" borderId="4" xfId="0" applyNumberFormat="1" applyFont="1" applyFill="1" applyBorder="1" applyAlignment="1">
      <alignment horizontal="right" vertical="center" indent="1"/>
    </xf>
    <xf numFmtId="0" fontId="41" fillId="0" borderId="0" xfId="0" applyFont="1" applyAlignment="1">
      <alignment horizontal="left" vertical="center"/>
    </xf>
    <xf numFmtId="44" fontId="46" fillId="11" borderId="4" xfId="0" applyNumberFormat="1" applyFont="1" applyFill="1" applyBorder="1" applyAlignment="1">
      <alignment horizontal="right" vertical="center"/>
    </xf>
    <xf numFmtId="44" fontId="42" fillId="0" borderId="0" xfId="0" applyNumberFormat="1" applyFont="1" applyAlignment="1"/>
    <xf numFmtId="44" fontId="41" fillId="0" borderId="4" xfId="0" applyNumberFormat="1" applyFont="1" applyBorder="1" applyAlignment="1">
      <alignment horizontal="right" vertical="center" indent="1"/>
    </xf>
    <xf numFmtId="0" fontId="43" fillId="0" borderId="0" xfId="0" applyFont="1" applyAlignment="1">
      <alignment vertical="center"/>
    </xf>
    <xf numFmtId="0" fontId="38" fillId="0" borderId="0" xfId="0" applyFont="1" applyAlignment="1">
      <alignment horizontal="right"/>
    </xf>
    <xf numFmtId="0" fontId="39" fillId="0" borderId="0" xfId="21" applyFont="1" applyAlignment="1">
      <alignment horizontal="center"/>
    </xf>
    <xf numFmtId="0" fontId="22" fillId="0" borderId="0" xfId="6" applyNumberFormat="1" applyFont="1" applyFill="1">
      <alignment horizontal="center" vertical="center"/>
    </xf>
    <xf numFmtId="44" fontId="32" fillId="8" borderId="0" xfId="0" applyNumberFormat="1" applyFont="1" applyFill="1" applyAlignment="1">
      <alignment horizontal="center" vertical="center" wrapText="1"/>
    </xf>
    <xf numFmtId="0" fontId="22" fillId="0" borderId="0" xfId="6" applyNumberFormat="1" applyFont="1" applyFill="1" applyAlignment="1">
      <alignment horizontal="left" vertical="center"/>
    </xf>
    <xf numFmtId="44" fontId="22" fillId="0" borderId="0" xfId="6" applyNumberFormat="1" applyFont="1" applyFill="1">
      <alignment horizontal="center" vertical="center"/>
    </xf>
    <xf numFmtId="0" fontId="50" fillId="0" borderId="0" xfId="6" applyNumberFormat="1" applyFont="1" applyFill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4" fontId="2" fillId="3" borderId="4" xfId="0" applyNumberFormat="1" applyFont="1" applyFill="1" applyBorder="1" applyAlignment="1">
      <alignment vertical="center"/>
    </xf>
    <xf numFmtId="0" fontId="45" fillId="11" borderId="0" xfId="0" applyFont="1" applyFill="1" applyAlignment="1">
      <alignment horizontal="left" vertical="center" wrapText="1"/>
    </xf>
    <xf numFmtId="0" fontId="22" fillId="0" borderId="0" xfId="0" applyFont="1">
      <alignment horizontal="left" vertical="center" wrapText="1" indent="1"/>
    </xf>
    <xf numFmtId="44" fontId="22" fillId="0" borderId="0" xfId="0" applyNumberFormat="1" applyFont="1">
      <alignment horizontal="left" vertical="center" wrapText="1" indent="1"/>
    </xf>
    <xf numFmtId="0" fontId="22" fillId="0" borderId="0" xfId="0" applyFont="1" applyAlignment="1">
      <alignment horizontal="center" vertical="center" wrapText="1"/>
    </xf>
    <xf numFmtId="0" fontId="48" fillId="8" borderId="3" xfId="16" applyFont="1" applyFill="1" applyBorder="1">
      <alignment horizontal="center" vertical="center"/>
    </xf>
    <xf numFmtId="0" fontId="51" fillId="12" borderId="0" xfId="6" applyNumberFormat="1" applyFont="1" applyFill="1">
      <alignment horizontal="center" vertical="center"/>
    </xf>
    <xf numFmtId="165" fontId="49" fillId="12" borderId="0" xfId="6" applyFont="1" applyFill="1">
      <alignment horizontal="center" vertical="center"/>
    </xf>
    <xf numFmtId="44" fontId="49" fillId="12" borderId="0" xfId="6" applyNumberFormat="1" applyFont="1" applyFill="1">
      <alignment horizontal="center" vertical="center"/>
    </xf>
    <xf numFmtId="0" fontId="51" fillId="0" borderId="0" xfId="6" applyNumberFormat="1" applyFont="1">
      <alignment horizontal="center" vertical="center"/>
    </xf>
    <xf numFmtId="165" fontId="49" fillId="0" borderId="0" xfId="6" applyFont="1">
      <alignment horizontal="center" vertical="center"/>
    </xf>
    <xf numFmtId="44" fontId="49" fillId="0" borderId="0" xfId="6" applyNumberFormat="1" applyFont="1">
      <alignment horizontal="center" vertical="center"/>
    </xf>
    <xf numFmtId="44" fontId="48" fillId="8" borderId="3" xfId="16" applyNumberFormat="1" applyFont="1" applyFill="1" applyBorder="1">
      <alignment horizontal="center" vertical="center"/>
    </xf>
    <xf numFmtId="0" fontId="48" fillId="8" borderId="0" xfId="16" applyFont="1" applyFill="1">
      <alignment horizontal="center" vertical="center"/>
    </xf>
    <xf numFmtId="0" fontId="48" fillId="8" borderId="0" xfId="0" applyFont="1" applyFill="1" applyAlignment="1">
      <alignment horizontal="center" vertical="center" wrapText="1"/>
    </xf>
    <xf numFmtId="44" fontId="48" fillId="8" borderId="0" xfId="0" applyNumberFormat="1" applyFont="1" applyFill="1" applyAlignment="1">
      <alignment horizontal="center" vertical="center" wrapText="1"/>
    </xf>
    <xf numFmtId="165" fontId="49" fillId="0" borderId="11" xfId="6" applyFont="1" applyFill="1" applyBorder="1" applyAlignment="1">
      <alignment horizontal="left" vertical="center"/>
    </xf>
    <xf numFmtId="165" fontId="49" fillId="0" borderId="11" xfId="6" applyFont="1" applyFill="1" applyBorder="1">
      <alignment horizontal="center" vertical="center"/>
    </xf>
    <xf numFmtId="0" fontId="51" fillId="0" borderId="11" xfId="6" applyNumberFormat="1" applyFont="1" applyFill="1" applyBorder="1" applyAlignment="1">
      <alignment horizontal="left" vertical="center"/>
    </xf>
    <xf numFmtId="44" fontId="49" fillId="0" borderId="11" xfId="6" applyNumberFormat="1" applyFont="1" applyFill="1" applyBorder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0" xfId="0" applyFill="1" applyAlignment="1"/>
    <xf numFmtId="165" fontId="49" fillId="0" borderId="0" xfId="6" applyFont="1" applyFill="1" applyAlignment="1">
      <alignment horizontal="left" vertical="center"/>
    </xf>
    <xf numFmtId="165" fontId="49" fillId="0" borderId="0" xfId="6" applyFont="1" applyFill="1">
      <alignment horizontal="center" vertical="center"/>
    </xf>
    <xf numFmtId="0" fontId="51" fillId="13" borderId="0" xfId="6" applyNumberFormat="1" applyFont="1" applyFill="1" applyAlignment="1">
      <alignment horizontal="right" vertical="center"/>
    </xf>
    <xf numFmtId="44" fontId="51" fillId="13" borderId="0" xfId="6" applyNumberFormat="1" applyFont="1" applyFill="1">
      <alignment horizontal="center" vertical="center"/>
    </xf>
    <xf numFmtId="0" fontId="51" fillId="0" borderId="0" xfId="6" applyNumberFormat="1" applyFont="1" applyFill="1" applyAlignment="1">
      <alignment horizontal="left" vertical="center"/>
    </xf>
    <xf numFmtId="44" fontId="49" fillId="0" borderId="0" xfId="6" applyNumberFormat="1" applyFont="1" applyFill="1">
      <alignment horizontal="center" vertical="center"/>
    </xf>
    <xf numFmtId="0" fontId="49" fillId="0" borderId="11" xfId="6" applyNumberFormat="1" applyFont="1" applyFill="1" applyBorder="1" applyAlignment="1">
      <alignment horizontal="left" vertical="center"/>
    </xf>
    <xf numFmtId="0" fontId="49" fillId="0" borderId="11" xfId="6" applyNumberFormat="1" applyFont="1" applyFill="1" applyBorder="1">
      <alignment horizontal="center" vertical="center"/>
    </xf>
    <xf numFmtId="0" fontId="0" fillId="0" borderId="11" xfId="0" applyFill="1" applyBorder="1" applyAlignment="1"/>
    <xf numFmtId="165" fontId="49" fillId="0" borderId="11" xfId="6" applyFont="1" applyBorder="1">
      <alignment horizontal="center" vertical="center"/>
    </xf>
    <xf numFmtId="44" fontId="49" fillId="0" borderId="11" xfId="6" applyNumberFormat="1" applyFont="1" applyBorder="1">
      <alignment horizontal="center" vertical="center"/>
    </xf>
    <xf numFmtId="0" fontId="23" fillId="0" borderId="0" xfId="0" applyFont="1" applyFill="1" applyAlignment="1"/>
    <xf numFmtId="165" fontId="51" fillId="0" borderId="11" xfId="6" applyFont="1" applyBorder="1">
      <alignment horizontal="center" vertical="center"/>
    </xf>
    <xf numFmtId="0" fontId="23" fillId="0" borderId="0" xfId="0" applyFont="1" applyAlignment="1"/>
    <xf numFmtId="0" fontId="22" fillId="0" borderId="0" xfId="6" applyNumberFormat="1" applyFont="1" applyFill="1" applyAlignment="1">
      <alignment vertical="center" wrapText="1"/>
    </xf>
    <xf numFmtId="14" fontId="50" fillId="0" borderId="0" xfId="13" applyFont="1" applyFill="1">
      <alignment horizontal="center" vertical="center" wrapText="1"/>
    </xf>
    <xf numFmtId="0" fontId="22" fillId="2" borderId="0" xfId="6" applyNumberFormat="1" applyFont="1" applyFill="1">
      <alignment horizontal="center" vertical="center"/>
    </xf>
    <xf numFmtId="165" fontId="22" fillId="2" borderId="0" xfId="6" applyFont="1" applyFill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6" fillId="0" borderId="0" xfId="4" applyFont="1" applyFill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49" fillId="12" borderId="0" xfId="0" applyFont="1" applyFill="1" applyAlignment="1">
      <alignment horizontal="center" vertical="center" wrapText="1"/>
    </xf>
    <xf numFmtId="0" fontId="16" fillId="0" borderId="0" xfId="4" applyFont="1" applyFill="1" applyAlignment="1">
      <alignment horizontal="center" vertical="center" wrapText="1"/>
    </xf>
    <xf numFmtId="0" fontId="48" fillId="8" borderId="3" xfId="16" applyFont="1" applyFill="1" applyBorder="1">
      <alignment horizontal="center" vertical="center"/>
    </xf>
    <xf numFmtId="0" fontId="48" fillId="8" borderId="0" xfId="16" applyFont="1" applyFill="1" applyBorder="1">
      <alignment horizontal="center" vertical="center"/>
    </xf>
    <xf numFmtId="0" fontId="51" fillId="12" borderId="0" xfId="6" applyNumberFormat="1" applyFont="1" applyFill="1">
      <alignment horizontal="center" vertical="center"/>
    </xf>
    <xf numFmtId="0" fontId="5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7" fillId="0" borderId="0" xfId="21" applyFont="1">
      <alignment horizontal="center" vertical="center"/>
    </xf>
    <xf numFmtId="167" fontId="33" fillId="9" borderId="9" xfId="0" applyNumberFormat="1" applyFont="1" applyFill="1" applyBorder="1" applyAlignment="1">
      <alignment horizontal="center" vertical="center"/>
    </xf>
    <xf numFmtId="0" fontId="35" fillId="0" borderId="9" xfId="18" applyFont="1" applyBorder="1">
      <alignment horizontal="right" vertical="center"/>
    </xf>
    <xf numFmtId="0" fontId="38" fillId="9" borderId="10" xfId="0" applyFont="1" applyFill="1" applyBorder="1" applyAlignment="1">
      <alignment horizontal="left" vertical="center"/>
    </xf>
    <xf numFmtId="0" fontId="38" fillId="9" borderId="9" xfId="0" applyFont="1" applyFill="1" applyBorder="1" applyAlignment="1">
      <alignment horizontal="left" vertical="center"/>
    </xf>
    <xf numFmtId="0" fontId="41" fillId="9" borderId="0" xfId="0" applyFont="1" applyFill="1" applyAlignment="1">
      <alignment horizontal="left"/>
    </xf>
    <xf numFmtId="0" fontId="14" fillId="5" borderId="3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66" fontId="17" fillId="8" borderId="6" xfId="0" applyNumberFormat="1" applyFont="1" applyFill="1" applyBorder="1" applyAlignment="1">
      <alignment horizontal="right" vertical="center"/>
    </xf>
    <xf numFmtId="166" fontId="17" fillId="8" borderId="8" xfId="0" applyNumberFormat="1" applyFont="1" applyFill="1" applyBorder="1" applyAlignment="1">
      <alignment horizontal="right" vertical="center"/>
    </xf>
    <xf numFmtId="0" fontId="23" fillId="8" borderId="6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44" fontId="17" fillId="8" borderId="5" xfId="0" applyNumberFormat="1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</cellXfs>
  <cellStyles count="23">
    <cellStyle name="Cabeçalho da tabela de itens" xfId="16" xr:uid="{00000000-0005-0000-0000-00000B000000}"/>
    <cellStyle name="Data" xfId="13" xr:uid="{00000000-0005-0000-0000-000003000000}"/>
    <cellStyle name="Data do inventário" xfId="11" xr:uid="{00000000-0005-0000-0000-00000A000000}"/>
    <cellStyle name="Entrada" xfId="9" builtinId="20" customBuiltin="1"/>
    <cellStyle name="Moeda" xfId="7" builtinId="4" customBuiltin="1"/>
    <cellStyle name="Moeda [0]" xfId="8" builtinId="7" customBuiltin="1"/>
    <cellStyle name="Normal" xfId="0" builtinId="0" customBuiltin="1"/>
    <cellStyle name="Normal 2" xfId="18" xr:uid="{1C1D0B7E-C97D-AB47-91D4-920C38C74BF8}"/>
    <cellStyle name="Normal 3" xfId="20" xr:uid="{4BA558F9-20F2-C24C-9BDA-2104204BEE8C}"/>
    <cellStyle name="Normal 3 2" xfId="21" xr:uid="{3FCEAAF8-4661-574B-8901-B6B94CF29790}"/>
    <cellStyle name="Nota" xfId="15" builtinId="10" customBuiltin="1"/>
    <cellStyle name="Número de série" xfId="14" xr:uid="{00000000-0005-0000-0000-00000F000000}"/>
    <cellStyle name="Telefone" xfId="12" xr:uid="{00000000-0005-0000-0000-00000E000000}"/>
    <cellStyle name="Texto Explicativo 2" xfId="19" xr:uid="{6FC5D6C7-28F9-9542-A78B-DA5194FCDB69}"/>
    <cellStyle name="Texto oculto" xfId="17" xr:uid="{00000000-0005-0000-0000-000008000000}"/>
    <cellStyle name="Título" xfId="4" builtinId="15" customBuiltin="1"/>
    <cellStyle name="Título 1" xfId="1" builtinId="16" customBuiltin="1"/>
    <cellStyle name="Título 2" xfId="10" builtinId="17" customBuiltin="1"/>
    <cellStyle name="Título 3" xfId="2" builtinId="18" customBuiltin="1"/>
    <cellStyle name="Título 4" xfId="5" builtinId="19" customBuiltin="1"/>
    <cellStyle name="Total" xfId="3" builtinId="25" customBuiltin="1"/>
    <cellStyle name="Vírgula" xfId="6" builtinId="3" customBuiltin="1"/>
    <cellStyle name="Vírgula 2" xfId="22" xr:uid="{61EB296F-7F8B-8649-9AC2-353870E294D1}"/>
  </cellStyles>
  <dxfs count="90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fgColor rgb="FF00B050"/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005493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gradientFill degree="90">
          <stop position="0">
            <color rgb="FF4BD54E"/>
          </stop>
          <stop position="1">
            <color rgb="FF009900"/>
          </stop>
        </gradientFill>
      </fill>
    </dxf>
    <dxf>
      <font>
        <b/>
        <i val="0"/>
        <color theme="2"/>
      </font>
      <fill>
        <gradientFill degree="90">
          <stop position="0">
            <color theme="3" tint="-0.25098422193060094"/>
          </stop>
          <stop position="1">
            <color theme="3" tint="-0.49803155613879818"/>
          </stop>
        </gradientFill>
      </fill>
    </dxf>
    <dxf>
      <font>
        <b/>
        <i val="0"/>
      </font>
      <fill>
        <gradientFill degree="90">
          <stop position="0">
            <color theme="4" tint="0.40000610370189521"/>
          </stop>
          <stop position="1">
            <color theme="4"/>
          </stop>
        </gradientFill>
      </fill>
    </dxf>
    <dxf>
      <font>
        <color rgb="FFE0E0E0"/>
      </font>
      <fill>
        <gradientFill degree="90">
          <stop position="0">
            <color rgb="FF4BD54E"/>
          </stop>
          <stop position="1">
            <color rgb="FF008000"/>
          </stop>
        </gradientFill>
      </fill>
    </dxf>
    <dxf>
      <fill>
        <patternFill>
          <bgColor rgb="FF00B05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  <fill>
        <patternFill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211F3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211F36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left" vertical="center" textRotation="0" indent="0" justifyLastLine="0" shrinkToFit="0" readingOrder="0"/>
    </dxf>
    <dxf>
      <font>
        <color theme="2" tint="-0.749961851863155"/>
      </font>
      <border diagonalUp="0" diagonalDown="0">
        <left/>
        <right/>
        <top/>
        <bottom style="thin">
          <color theme="3"/>
        </bottom>
        <vertical/>
        <horizontal/>
      </border>
    </dxf>
    <dxf>
      <font>
        <b val="0"/>
        <i val="0"/>
        <sz val="11"/>
        <color theme="1"/>
      </font>
      <border diagonalUp="0" diagonalDown="0">
        <left/>
        <right/>
        <top/>
        <bottom/>
        <vertical/>
        <horizontal/>
      </border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1"/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/>
        <i val="0"/>
        <color theme="0"/>
      </font>
      <fill>
        <patternFill>
          <bgColor theme="2" tint="-0.749961851863155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auto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749961851863155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b/>
        <i val="0"/>
        <color theme="0"/>
      </font>
      <fill>
        <patternFill>
          <bgColor theme="2" tint="-0.749961851863155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auto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749961851863155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</dxfs>
  <tableStyles count="6" defaultTableStyle="TableStyleMedium2" defaultPivotStyle="PivotStyleLight16">
    <tableStyle name="Inventário da Casa" pivot="0" count="7" xr9:uid="{00000000-0011-0000-FFFF-FFFF00000000}">
      <tableStyleElement type="wholeTable" dxfId="89"/>
      <tableStyleElement type="headerRow" dxfId="88"/>
      <tableStyleElement type="totalRow" dxfId="87"/>
      <tableStyleElement type="lastColumn" dxfId="86"/>
      <tableStyleElement type="firstRowStripe" dxfId="85"/>
      <tableStyleElement type="firstColumnStripe" dxfId="84"/>
      <tableStyleElement type="firstTotalCell" dxfId="83"/>
    </tableStyle>
    <tableStyle name="Inventário da Casa 2" pivot="0" count="7" xr9:uid="{389AC9AF-C84B-144B-B717-41A0F7D8C90E}">
      <tableStyleElement type="wholeTable" dxfId="82"/>
      <tableStyleElement type="headerRow" dxfId="81"/>
      <tableStyleElement type="totalRow" dxfId="80"/>
      <tableStyleElement type="lastColumn" dxfId="79"/>
      <tableStyleElement type="firstRowStripe" dxfId="78"/>
      <tableStyleElement type="firstColumnStripe" dxfId="77"/>
      <tableStyleElement type="firstTotalCell" dxfId="76"/>
    </tableStyle>
    <tableStyle name="Recibo de vendas design Azul Simples" pivot="0" count="4" xr9:uid="{98D34CE1-B393-154B-9240-BF03E5E6316E}">
      <tableStyleElement type="wholeTable" dxfId="75"/>
      <tableStyleElement type="headerRow" dxfId="74"/>
      <tableStyleElement type="lastColumn" dxfId="73"/>
      <tableStyleElement type="secondRowStripe" dxfId="72"/>
    </tableStyle>
    <tableStyle name="Recibo de vendas design Azul Simples 2" pivot="0" count="4" xr9:uid="{67D25608-B4C7-8142-98D1-7B1B6E9E6D26}">
      <tableStyleElement type="wholeTable" dxfId="71"/>
      <tableStyleElement type="headerRow" dxfId="70"/>
      <tableStyleElement type="lastColumn" dxfId="69"/>
      <tableStyleElement type="secondRowStripe" dxfId="68"/>
    </tableStyle>
    <tableStyle name="Segmentação de dados de inventário doméstico" pivot="0" table="0" count="2" xr9:uid="{00000000-0011-0000-FFFF-FFFF01000000}">
      <tableStyleElement type="wholeTable" dxfId="67"/>
      <tableStyleElement type="headerRow" dxfId="66"/>
    </tableStyle>
    <tableStyle name="Segmentação de dados de inventário doméstico " pivot="0" table="0" count="10" xr9:uid="{56631F5F-7904-4CBD-BB52-E92BF4033692}">
      <tableStyleElement type="wholeTable" dxfId="65"/>
      <tableStyleElement type="headerRow" dxfId="6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005493"/>
      <color rgb="FF4BD54E"/>
      <color rgb="FF211F36"/>
      <color rgb="FF000099"/>
      <color rgb="FF0066FF"/>
      <color rgb="FF66CCFF"/>
      <color rgb="FFFFFF66"/>
      <color rgb="FFE0E0E0"/>
      <color rgb="FFFFCC00"/>
    </mruColors>
  </colors>
  <extLst>
    <ext xmlns:x14="http://schemas.microsoft.com/office/spreadsheetml/2009/9/main" uri="{46F421CA-312F-682f-3DD2-61675219B42D}">
      <x14:dxfs count="8">
        <dxf>
          <font>
            <color theme="1"/>
          </font>
          <fill>
            <patternFill>
              <bgColor theme="0" tint="-0.34998626667073579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theme="1"/>
          </font>
          <fill>
            <patternFill>
              <bgColor theme="0" tint="-0.2499465926084170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theme="1"/>
          </font>
          <fill>
            <patternFill>
              <bgColor theme="5"/>
            </patternFill>
          </fill>
        </dxf>
        <dxf>
          <font>
            <color theme="1"/>
          </font>
          <fill>
            <patternFill>
              <bgColor theme="5"/>
            </patternFill>
          </fill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</border>
        </dxf>
        <dxf>
          <font>
            <color rgb="FF828282"/>
          </font>
          <border>
            <left style="thin">
              <color theme="3"/>
            </left>
            <right style="thin">
              <color theme="3"/>
            </right>
            <top style="thin">
              <color theme="3"/>
            </top>
            <bottom style="thin">
              <color theme="3"/>
            </bottom>
          </border>
        </dxf>
        <dxf>
          <font>
            <color theme="1"/>
          </font>
          <fill>
            <patternFill>
              <bgColor theme="5" tint="0.39994506668294322"/>
            </patternFill>
          </fill>
        </dxf>
        <dxf>
          <font>
            <color rgb="FF828282"/>
          </font>
          <fill>
            <patternFill>
              <bgColor theme="0" tint="-0.14996795556505021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</border>
        </dxf>
        <dxf>
          <font>
            <color theme="1"/>
          </font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egmentação de dados de inventário doméstico 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pagamentos dos clientes</a:t>
            </a:r>
            <a:endParaRPr lang="pt-BR"/>
          </a:p>
        </c:rich>
      </c:tx>
      <c:layout>
        <c:manualLayout>
          <c:xMode val="edge"/>
          <c:yMode val="edge"/>
          <c:x val="0.28334703947368423"/>
          <c:y val="1.5600624024960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'1.BAIXA CONTRATOS'!$N$4:$N$7</c:f>
              <c:strCache>
                <c:ptCount val="2"/>
                <c:pt idx="0">
                  <c:v>A RECEBER</c:v>
                </c:pt>
                <c:pt idx="1">
                  <c:v>TOTAL GERAL</c:v>
                </c:pt>
              </c:strCache>
            </c:strRef>
          </c:cat>
          <c:val>
            <c:numRef>
              <c:f>'1.BAIXA CONTRATOS'!$O$4:$O$7</c:f>
              <c:numCache>
                <c:formatCode>_("R$"* #,##0.00_);_("R$"* \(#,##0.00\);_("R$"* "-"??_);_(@_)</c:formatCode>
                <c:ptCount val="2"/>
                <c:pt idx="0">
                  <c:v>69880</c:v>
                </c:pt>
                <c:pt idx="1">
                  <c:v>743530.01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1-4E11-8DC6-E0C54FB3B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848805328"/>
        <c:axId val="857124624"/>
      </c:barChart>
      <c:catAx>
        <c:axId val="84880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7124624"/>
        <c:crosses val="autoZero"/>
        <c:auto val="1"/>
        <c:lblAlgn val="ctr"/>
        <c:lblOffset val="100"/>
        <c:noMultiLvlLbl val="0"/>
      </c:catAx>
      <c:valAx>
        <c:axId val="8571246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880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</a:t>
            </a:r>
            <a:r>
              <a:rPr lang="pt-BR" baseline="0"/>
              <a:t> de pagamentos dos clientes</a:t>
            </a:r>
            <a:endParaRPr lang="pt-BR"/>
          </a:p>
        </c:rich>
      </c:tx>
      <c:layout>
        <c:manualLayout>
          <c:xMode val="edge"/>
          <c:yMode val="edge"/>
          <c:x val="0.28334703947368423"/>
          <c:y val="1.5600624024960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'1.BAIXA CONTRATOS'!$R$4:$R$15</c:f>
              <c:strCache>
                <c:ptCount val="2"/>
                <c:pt idx="0">
                  <c:v>Março</c:v>
                </c:pt>
                <c:pt idx="1">
                  <c:v>Abril</c:v>
                </c:pt>
              </c:strCache>
            </c:strRef>
          </c:cat>
          <c:val>
            <c:numRef>
              <c:f>'1.BAIXA CONTRATOS'!$S$4:$S$15</c:f>
              <c:numCache>
                <c:formatCode>_("R$"* #,##0.00_);_("R$"* \(#,##0.00\);_("R$"* "-"??_);_(@_)</c:formatCode>
                <c:ptCount val="2"/>
                <c:pt idx="0">
                  <c:v>25000</c:v>
                </c:pt>
                <c:pt idx="1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9-4B7A-A903-058E6D8352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848805328"/>
        <c:axId val="857124624"/>
      </c:barChart>
      <c:catAx>
        <c:axId val="84880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7124624"/>
        <c:crosses val="autoZero"/>
        <c:auto val="1"/>
        <c:lblAlgn val="ctr"/>
        <c:lblOffset val="100"/>
        <c:noMultiLvlLbl val="0"/>
      </c:catAx>
      <c:valAx>
        <c:axId val="8571246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880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IXA PAGAMENTO DE CLIENTES'!Titulos_de_impressao"/><Relationship Id="rId2" Type="http://schemas.openxmlformats.org/officeDocument/2006/relationships/hyperlink" Target="#'1.BAIXA PAGAMENTO DE CLIENTES'!A1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25</xdr:col>
      <xdr:colOff>263856</xdr:colOff>
      <xdr:row>53</xdr:row>
      <xdr:rowOff>152400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8A8804B4-EA85-944E-9441-32C75086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</a:blip>
        <a:stretch>
          <a:fillRect/>
        </a:stretch>
      </xdr:blipFill>
      <xdr:spPr>
        <a:xfrm>
          <a:off x="0" y="25400"/>
          <a:ext cx="17091356" cy="10223500"/>
        </a:xfrm>
        <a:prstGeom prst="rect">
          <a:avLst/>
        </a:prstGeom>
      </xdr:spPr>
    </xdr:pic>
    <xdr:clientData/>
  </xdr:twoCellAnchor>
  <xdr:twoCellAnchor>
    <xdr:from>
      <xdr:col>1</xdr:col>
      <xdr:colOff>71120</xdr:colOff>
      <xdr:row>1</xdr:row>
      <xdr:rowOff>121920</xdr:rowOff>
    </xdr:from>
    <xdr:to>
      <xdr:col>4</xdr:col>
      <xdr:colOff>571500</xdr:colOff>
      <xdr:row>8</xdr:row>
      <xdr:rowOff>177800</xdr:rowOff>
    </xdr:to>
    <xdr:grpSp>
      <xdr:nvGrpSpPr>
        <xdr:cNvPr id="8" name="Agrupar 5">
          <a:extLst>
            <a:ext uri="{FF2B5EF4-FFF2-40B4-BE49-F238E27FC236}">
              <a16:creationId xmlns:a16="http://schemas.microsoft.com/office/drawing/2014/main" id="{2A0BB07B-40D0-498F-B59A-41CC49CDDC45}"/>
            </a:ext>
          </a:extLst>
        </xdr:cNvPr>
        <xdr:cNvGrpSpPr>
          <a:grpSpLocks/>
        </xdr:cNvGrpSpPr>
      </xdr:nvGrpSpPr>
      <xdr:grpSpPr bwMode="auto">
        <a:xfrm>
          <a:off x="744220" y="3124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7D1D96AA-3E24-8842-7AEF-F661199CB631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0" name="CaixaDeTexto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B04C1DC-9A03-9FD9-1C46-709AA21D29B9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1. BAIXA</a:t>
            </a:r>
            <a:r>
              <a:rPr lang="pt-BR" sz="1400" baseline="0">
                <a:solidFill>
                  <a:schemeClr val="bg1"/>
                </a:solidFill>
              </a:rPr>
              <a:t> DE PAGAMENTOS/ CONTRATOS</a:t>
            </a:r>
          </a:p>
        </xdr:txBody>
      </xdr:sp>
    </xdr:grpSp>
    <xdr:clientData/>
  </xdr:twoCellAnchor>
  <xdr:twoCellAnchor>
    <xdr:from>
      <xdr:col>1</xdr:col>
      <xdr:colOff>109220</xdr:colOff>
      <xdr:row>11</xdr:row>
      <xdr:rowOff>20320</xdr:rowOff>
    </xdr:from>
    <xdr:to>
      <xdr:col>4</xdr:col>
      <xdr:colOff>609600</xdr:colOff>
      <xdr:row>18</xdr:row>
      <xdr:rowOff>76200</xdr:rowOff>
    </xdr:to>
    <xdr:grpSp>
      <xdr:nvGrpSpPr>
        <xdr:cNvPr id="3" name="Agrupar 5">
          <a:extLst>
            <a:ext uri="{FF2B5EF4-FFF2-40B4-BE49-F238E27FC236}">
              <a16:creationId xmlns:a16="http://schemas.microsoft.com/office/drawing/2014/main" id="{7C46FC8B-AA6E-8D44-ACBA-9F740F27BD03}"/>
            </a:ext>
          </a:extLst>
        </xdr:cNvPr>
        <xdr:cNvGrpSpPr>
          <a:grpSpLocks/>
        </xdr:cNvGrpSpPr>
      </xdr:nvGrpSpPr>
      <xdr:grpSpPr bwMode="auto">
        <a:xfrm>
          <a:off x="782320" y="21158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D7A03BC0-728E-3E69-F1EF-D5F668FFB6EA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5" name="CaixaDeTexto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DC004AA-F797-286B-6149-F373D6F46649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2. STATUS</a:t>
            </a:r>
            <a:r>
              <a:rPr lang="pt-BR" sz="1400" baseline="0">
                <a:solidFill>
                  <a:schemeClr val="bg1"/>
                </a:solidFill>
              </a:rPr>
              <a:t> CLIENTES</a:t>
            </a:r>
          </a:p>
        </xdr:txBody>
      </xdr:sp>
    </xdr:grpSp>
    <xdr:clientData/>
  </xdr:twoCellAnchor>
  <xdr:twoCellAnchor>
    <xdr:from>
      <xdr:col>1</xdr:col>
      <xdr:colOff>109220</xdr:colOff>
      <xdr:row>21</xdr:row>
      <xdr:rowOff>83820</xdr:rowOff>
    </xdr:from>
    <xdr:to>
      <xdr:col>4</xdr:col>
      <xdr:colOff>609600</xdr:colOff>
      <xdr:row>28</xdr:row>
      <xdr:rowOff>139700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4FFD19B-412E-EA49-B1C8-B5DE950FA2FB}"/>
            </a:ext>
          </a:extLst>
        </xdr:cNvPr>
        <xdr:cNvGrpSpPr>
          <a:grpSpLocks/>
        </xdr:cNvGrpSpPr>
      </xdr:nvGrpSpPr>
      <xdr:grpSpPr bwMode="auto">
        <a:xfrm>
          <a:off x="782320" y="40843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BFF46320-1043-475D-F473-9019FC903DA0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6" name="CaixaDeTexto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7A991FF-8E3F-E15F-44EA-53611D1A0419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3. CONTAS</a:t>
            </a:r>
            <a:r>
              <a:rPr lang="pt-BR" sz="1400" baseline="0">
                <a:solidFill>
                  <a:schemeClr val="bg1"/>
                </a:solidFill>
              </a:rPr>
              <a:t> A PAGAR TAUANE/ GUILHERME</a:t>
            </a:r>
          </a:p>
        </xdr:txBody>
      </xdr:sp>
    </xdr:grpSp>
    <xdr:clientData/>
  </xdr:twoCellAnchor>
  <xdr:twoCellAnchor>
    <xdr:from>
      <xdr:col>6</xdr:col>
      <xdr:colOff>185420</xdr:colOff>
      <xdr:row>10</xdr:row>
      <xdr:rowOff>185420</xdr:rowOff>
    </xdr:from>
    <xdr:to>
      <xdr:col>10</xdr:col>
      <xdr:colOff>12700</xdr:colOff>
      <xdr:row>18</xdr:row>
      <xdr:rowOff>50800</xdr:rowOff>
    </xdr:to>
    <xdr:grpSp>
      <xdr:nvGrpSpPr>
        <xdr:cNvPr id="27" name="Agrupar 5">
          <a:extLst>
            <a:ext uri="{FF2B5EF4-FFF2-40B4-BE49-F238E27FC236}">
              <a16:creationId xmlns:a16="http://schemas.microsoft.com/office/drawing/2014/main" id="{4B5D83CD-B46C-474E-8E1A-C9FCCEAD91E1}"/>
            </a:ext>
          </a:extLst>
        </xdr:cNvPr>
        <xdr:cNvGrpSpPr>
          <a:grpSpLocks/>
        </xdr:cNvGrpSpPr>
      </xdr:nvGrpSpPr>
      <xdr:grpSpPr bwMode="auto">
        <a:xfrm>
          <a:off x="4224020" y="20904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28" name="Retângulo 27">
            <a:extLst>
              <a:ext uri="{FF2B5EF4-FFF2-40B4-BE49-F238E27FC236}">
                <a16:creationId xmlns:a16="http://schemas.microsoft.com/office/drawing/2014/main" id="{3614507B-87C6-EA90-5ED7-E47ED7E87F41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9" name="CaixaDeTexto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4E40988-6296-4F81-8D1A-B3C74F9DC0F5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1 - BAIXA</a:t>
            </a:r>
            <a:r>
              <a:rPr lang="pt-BR" sz="1400" baseline="0">
                <a:solidFill>
                  <a:schemeClr val="bg1"/>
                </a:solidFill>
              </a:rPr>
              <a:t> DE PAGAMENTOS/ CONTRATOS</a:t>
            </a:r>
          </a:p>
        </xdr:txBody>
      </xdr:sp>
    </xdr:grpSp>
    <xdr:clientData/>
  </xdr:twoCellAnchor>
  <xdr:twoCellAnchor>
    <xdr:from>
      <xdr:col>6</xdr:col>
      <xdr:colOff>160020</xdr:colOff>
      <xdr:row>1</xdr:row>
      <xdr:rowOff>172720</xdr:rowOff>
    </xdr:from>
    <xdr:to>
      <xdr:col>9</xdr:col>
      <xdr:colOff>660400</xdr:colOff>
      <xdr:row>9</xdr:row>
      <xdr:rowOff>38100</xdr:rowOff>
    </xdr:to>
    <xdr:grpSp>
      <xdr:nvGrpSpPr>
        <xdr:cNvPr id="30" name="Agrupar 5">
          <a:extLst>
            <a:ext uri="{FF2B5EF4-FFF2-40B4-BE49-F238E27FC236}">
              <a16:creationId xmlns:a16="http://schemas.microsoft.com/office/drawing/2014/main" id="{D03E26B0-8F30-6448-A320-0AF9F21E97EC}"/>
            </a:ext>
          </a:extLst>
        </xdr:cNvPr>
        <xdr:cNvGrpSpPr>
          <a:grpSpLocks/>
        </xdr:cNvGrpSpPr>
      </xdr:nvGrpSpPr>
      <xdr:grpSpPr bwMode="auto">
        <a:xfrm>
          <a:off x="4198620" y="3632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5FEF1F3B-A1A2-A6C6-ED9A-93CBDBCE6865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32" name="CaixaDeTexto 3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297BBE-7EF7-16E0-4DF7-9F13E3A44743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5.</a:t>
            </a:r>
            <a:r>
              <a:rPr lang="pt-BR" sz="1400" baseline="0">
                <a:solidFill>
                  <a:schemeClr val="bg1"/>
                </a:solidFill>
              </a:rPr>
              <a:t> BALANÇO MENSAL - SMART E PESSOAL</a:t>
            </a:r>
          </a:p>
        </xdr:txBody>
      </xdr:sp>
    </xdr:grpSp>
    <xdr:clientData/>
  </xdr:twoCellAnchor>
  <xdr:twoCellAnchor>
    <xdr:from>
      <xdr:col>6</xdr:col>
      <xdr:colOff>185420</xdr:colOff>
      <xdr:row>21</xdr:row>
      <xdr:rowOff>83820</xdr:rowOff>
    </xdr:from>
    <xdr:to>
      <xdr:col>10</xdr:col>
      <xdr:colOff>12700</xdr:colOff>
      <xdr:row>28</xdr:row>
      <xdr:rowOff>139700</xdr:rowOff>
    </xdr:to>
    <xdr:grpSp>
      <xdr:nvGrpSpPr>
        <xdr:cNvPr id="33" name="Agrupar 5">
          <a:extLst>
            <a:ext uri="{FF2B5EF4-FFF2-40B4-BE49-F238E27FC236}">
              <a16:creationId xmlns:a16="http://schemas.microsoft.com/office/drawing/2014/main" id="{DD7AF888-E65E-2245-934E-A394617BB1AF}"/>
            </a:ext>
          </a:extLst>
        </xdr:cNvPr>
        <xdr:cNvGrpSpPr>
          <a:grpSpLocks/>
        </xdr:cNvGrpSpPr>
      </xdr:nvGrpSpPr>
      <xdr:grpSpPr bwMode="auto">
        <a:xfrm>
          <a:off x="4224020" y="40843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34" name="Retângulo 33">
            <a:extLst>
              <a:ext uri="{FF2B5EF4-FFF2-40B4-BE49-F238E27FC236}">
                <a16:creationId xmlns:a16="http://schemas.microsoft.com/office/drawing/2014/main" id="{4FE081B7-1E94-8B3F-827F-FB0A8982E8B8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35" name="CaixaDeTexto 3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214DCE8-CD31-6B50-6C42-E6C6A4A14F50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1 - BAIXA</a:t>
            </a:r>
            <a:r>
              <a:rPr lang="pt-BR" sz="1400" baseline="0">
                <a:solidFill>
                  <a:schemeClr val="bg1"/>
                </a:solidFill>
              </a:rPr>
              <a:t> DE PAGAMENTOS/ CONTRATOS</a:t>
            </a:r>
          </a:p>
        </xdr:txBody>
      </xdr:sp>
    </xdr:grpSp>
    <xdr:clientData/>
  </xdr:twoCellAnchor>
  <xdr:twoCellAnchor>
    <xdr:from>
      <xdr:col>1</xdr:col>
      <xdr:colOff>134620</xdr:colOff>
      <xdr:row>31</xdr:row>
      <xdr:rowOff>109220</xdr:rowOff>
    </xdr:from>
    <xdr:to>
      <xdr:col>4</xdr:col>
      <xdr:colOff>635000</xdr:colOff>
      <xdr:row>38</xdr:row>
      <xdr:rowOff>165100</xdr:rowOff>
    </xdr:to>
    <xdr:grpSp>
      <xdr:nvGrpSpPr>
        <xdr:cNvPr id="36" name="Agrupar 5">
          <a:extLst>
            <a:ext uri="{FF2B5EF4-FFF2-40B4-BE49-F238E27FC236}">
              <a16:creationId xmlns:a16="http://schemas.microsoft.com/office/drawing/2014/main" id="{3FE1778D-0D9F-314F-B90D-6966719AA747}"/>
            </a:ext>
          </a:extLst>
        </xdr:cNvPr>
        <xdr:cNvGrpSpPr>
          <a:grpSpLocks/>
        </xdr:cNvGrpSpPr>
      </xdr:nvGrpSpPr>
      <xdr:grpSpPr bwMode="auto">
        <a:xfrm>
          <a:off x="807720" y="6014720"/>
          <a:ext cx="2519680" cy="1389380"/>
          <a:chOff x="190500" y="228600"/>
          <a:chExt cx="1508760" cy="419100"/>
        </a:xfrm>
        <a:solidFill>
          <a:schemeClr val="bg1">
            <a:lumMod val="50000"/>
          </a:schemeClr>
        </a:solidFill>
      </xdr:grpSpPr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id="{AEB32160-366C-8584-C3F9-D7D7BD15E6FE}"/>
              </a:ext>
            </a:extLst>
          </xdr:cNvPr>
          <xdr:cNvSpPr/>
        </xdr:nvSpPr>
        <xdr:spPr>
          <a:xfrm>
            <a:off x="190500" y="228600"/>
            <a:ext cx="1508760" cy="419100"/>
          </a:xfrm>
          <a:prstGeom prst="rect">
            <a:avLst/>
          </a:prstGeom>
          <a:grpFill/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38" name="CaixaDeTexto 3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3268FCB-FBAC-4277-0151-D202EDDC2F29}"/>
              </a:ext>
            </a:extLst>
          </xdr:cNvPr>
          <xdr:cNvSpPr txBox="1"/>
        </xdr:nvSpPr>
        <xdr:spPr>
          <a:xfrm>
            <a:off x="269588" y="291985"/>
            <a:ext cx="1384044" cy="27143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>
                <a:solidFill>
                  <a:schemeClr val="bg1"/>
                </a:solidFill>
              </a:rPr>
              <a:t>4. CONTAS A PAGAR     SMART</a:t>
            </a:r>
            <a:r>
              <a:rPr lang="pt-BR" sz="1400" baseline="0">
                <a:solidFill>
                  <a:schemeClr val="bg1"/>
                </a:solidFill>
              </a:rPr>
              <a:t> TECH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891540</xdr:rowOff>
    </xdr:from>
    <xdr:to>
      <xdr:col>9</xdr:col>
      <xdr:colOff>1117600</xdr:colOff>
      <xdr:row>1</xdr:row>
      <xdr:rowOff>784860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Área/aposento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Área/apos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360" y="891540"/>
              <a:ext cx="13403580" cy="87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 fPrintsWithSheet="0"/>
  </xdr:twoCellAnchor>
  <xdr:twoCellAnchor>
    <xdr:from>
      <xdr:col>12</xdr:col>
      <xdr:colOff>469900</xdr:colOff>
      <xdr:row>2</xdr:row>
      <xdr:rowOff>12700</xdr:rowOff>
    </xdr:from>
    <xdr:to>
      <xdr:col>29</xdr:col>
      <xdr:colOff>50800</xdr:colOff>
      <xdr:row>15</xdr:row>
      <xdr:rowOff>35560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88CBBE-0881-4FB5-B020-702593D2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431800</xdr:colOff>
      <xdr:row>16</xdr:row>
      <xdr:rowOff>68580</xdr:rowOff>
    </xdr:from>
    <xdr:to>
      <xdr:col>29</xdr:col>
      <xdr:colOff>25400</xdr:colOff>
      <xdr:row>33</xdr:row>
      <xdr:rowOff>101600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8EAB4F-05D6-4AA6-A7FF-289E21736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160020</xdr:colOff>
      <xdr:row>0</xdr:row>
      <xdr:rowOff>27940</xdr:rowOff>
    </xdr:from>
    <xdr:to>
      <xdr:col>12</xdr:col>
      <xdr:colOff>37374</xdr:colOff>
      <xdr:row>0</xdr:row>
      <xdr:rowOff>668020</xdr:rowOff>
    </xdr:to>
    <xdr:pic>
      <xdr:nvPicPr>
        <xdr:cNvPr id="5" name="Gráfico 4" descr="Compartilha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C79B87-4960-4DB0-9DBA-812B1C69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9620" y="27940"/>
          <a:ext cx="829854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101600</xdr:colOff>
      <xdr:row>0</xdr:row>
      <xdr:rowOff>0</xdr:rowOff>
    </xdr:from>
    <xdr:to>
      <xdr:col>3</xdr:col>
      <xdr:colOff>533400</xdr:colOff>
      <xdr:row>1</xdr:row>
      <xdr:rowOff>24538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9BBC80A-B9E1-984D-8274-B267FB0F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0" y="0"/>
          <a:ext cx="1625600" cy="11548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27940</xdr:rowOff>
    </xdr:from>
    <xdr:to>
      <xdr:col>10</xdr:col>
      <xdr:colOff>1155700</xdr:colOff>
      <xdr:row>1</xdr:row>
      <xdr:rowOff>368300</xdr:rowOff>
    </xdr:to>
    <xdr:pic>
      <xdr:nvPicPr>
        <xdr:cNvPr id="2" name="Gráfico 4" descr="Compartilha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01B08C-C645-3540-9AAA-A0FE9C27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00" y="27940"/>
          <a:ext cx="1155700" cy="100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165100</xdr:colOff>
      <xdr:row>0</xdr:row>
      <xdr:rowOff>228600</xdr:rowOff>
    </xdr:from>
    <xdr:to>
      <xdr:col>12</xdr:col>
      <xdr:colOff>203200</xdr:colOff>
      <xdr:row>1</xdr:row>
      <xdr:rowOff>633298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C304DA-193F-C347-9531-770DD2214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9300" y="228600"/>
          <a:ext cx="1384300" cy="106509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0</xdr:row>
      <xdr:rowOff>86626</xdr:rowOff>
    </xdr:from>
    <xdr:to>
      <xdr:col>1</xdr:col>
      <xdr:colOff>139700</xdr:colOff>
      <xdr:row>1</xdr:row>
      <xdr:rowOff>774700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004EC1-4B3A-8947-BBCC-E9546627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499" y="86626"/>
          <a:ext cx="1752601" cy="13484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553228</xdr:colOff>
      <xdr:row>1</xdr:row>
      <xdr:rowOff>1117600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46E934-DCE2-7148-BBC2-558FC0FB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0"/>
          <a:ext cx="1454928" cy="1308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107423</xdr:colOff>
      <xdr:row>0</xdr:row>
      <xdr:rowOff>203200</xdr:rowOff>
    </xdr:from>
    <xdr:to>
      <xdr:col>1</xdr:col>
      <xdr:colOff>60347</xdr:colOff>
      <xdr:row>0</xdr:row>
      <xdr:rowOff>1282700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283BE9-77CB-4A4B-8880-BA784BD7A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8" b="12371"/>
        <a:stretch/>
      </xdr:blipFill>
      <xdr:spPr>
        <a:xfrm>
          <a:off x="107423" y="203200"/>
          <a:ext cx="1311824" cy="1079500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oom__area" xr10:uid="{00000000-0013-0000-FFFF-FFFF01000000}" sourceName="CLIENTE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Área/aposento" xr10:uid="{00000000-0014-0000-FFFF-FFFF01000000}" cache="Slicer_Room__area" columnCount="6" style="Segmentação de dados de inventário doméstico " rowHeight="1936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ário" displayName="Inventário" ref="B3:L50" totalsRowCount="1" headerRowDxfId="63">
  <autoFilter ref="B3:L49" xr:uid="{00000000-0009-0000-0100-000001000000}">
    <filterColumn colId="4">
      <filters>
        <filter val="Setembro"/>
      </filters>
    </filterColumn>
  </autoFilter>
  <tableColumns count="11">
    <tableColumn id="21" xr3:uid="{00000000-0010-0000-0000-000015000000}" name="Codigo" totalsRowLabel="TOTAIS" totalsRowDxfId="62" dataCellStyle="Vírgula">
      <calculatedColumnFormula>ROW($A1)</calculatedColumnFormula>
    </tableColumn>
    <tableColumn id="2" xr3:uid="{7F95800A-539C-4312-9803-65C545F5D4BB}" name="Nº da Parcela" totalsRowLabel=" " dataDxfId="61" totalsRowDxfId="60" dataCellStyle="Vírgula"/>
    <tableColumn id="3" xr3:uid="{00000000-0010-0000-0000-000003000000}" name="CLIENTE" totalsRowDxfId="59"/>
    <tableColumn id="4" xr3:uid="{00000000-0010-0000-0000-000004000000}" name="SERVIÇO" dataDxfId="58" totalsRowDxfId="57"/>
    <tableColumn id="9" xr3:uid="{CCD03CE3-ED0B-4A88-9806-EA58154BCD4A}" name="MÊS" dataDxfId="56" totalsRowDxfId="55"/>
    <tableColumn id="7" xr3:uid="{00000000-0010-0000-0000-000007000000}" name="VENCIMENTO" dataDxfId="54" totalsRowDxfId="53" dataCellStyle="Data"/>
    <tableColumn id="8" xr3:uid="{D378BCF1-086E-42D8-B540-DD6AF3AC6DC9}" name="OBSERVAÇÃO" dataDxfId="52" totalsRowDxfId="51" dataCellStyle="Data">
      <calculatedColumnFormula>G4-TODAY()</calculatedColumnFormula>
    </tableColumn>
    <tableColumn id="16" xr3:uid="{7AB1B598-2850-4448-AF0C-D088872A1DB5}" name="PAGAMENTO" dataDxfId="50" totalsRowDxfId="49" dataCellStyle="Data"/>
    <tableColumn id="12" xr3:uid="{E55C9FE7-93E6-4950-9AB1-AAA7FA0B3B32}" name="PARCELA" dataDxfId="48" totalsRowDxfId="47" dataCellStyle="Data"/>
    <tableColumn id="6" xr3:uid="{749CDA97-4EEC-4D58-A7DF-722812047817}" name="A PAGAR" dataDxfId="46" totalsRowDxfId="45" dataCellStyle="Data"/>
    <tableColumn id="5" xr3:uid="{DA5D7CB7-0D09-4B39-A352-BA844BD66D51}" name="STATUS" dataDxfId="44" totalsRowDxfId="43" dataCellStyle="Data"/>
  </tableColumns>
  <tableStyleInfo name="Inventário da Casa" showFirstColumn="1" showLastColumn="0" showRowStripes="1" showColumnStripes="0"/>
  <extLst>
    <ext xmlns:x14="http://schemas.microsoft.com/office/spreadsheetml/2009/9/main" uri="{504A1905-F514-4f6f-8877-14C23A59335A}">
      <x14:table altTextSummary="Lista de itens de inventário doméstico, como nº do item (campo calculado), cômodo/área, informações do item, informações da compra, valor atual estimado, observações e foto (campo Sim/Não)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0A3AA8-451A-F64C-A5B4-04577DFABF82}" name="Inventário44" displayName="Inventário44" ref="A3:J102" totalsRowShown="0" headerRowDxfId="42" dataDxfId="41">
  <autoFilter ref="A3:J102" xr:uid="{6FC3D165-7FEA-7644-8BF1-8B83955111B9}"/>
  <tableColumns count="10">
    <tableColumn id="2" xr3:uid="{8B27B2BC-B820-8940-8663-E2A37BC73D3F}" name="ENVIO" dataDxfId="40" totalsRowDxfId="39" dataCellStyle="Vírgula"/>
    <tableColumn id="1" xr3:uid="{DD2A9FD9-091D-4342-AFC1-2AAE24DA07AD}" name="Mês" dataDxfId="38" totalsRowDxfId="37" dataCellStyle="Vírgula"/>
    <tableColumn id="5" xr3:uid="{0D205B52-9906-EC4E-9C11-7D9059E6A98D}" name="Periodo (DIA)" dataDxfId="36" totalsRowDxfId="35" dataCellStyle="Vírgula"/>
    <tableColumn id="3" xr3:uid="{A14C9804-EE50-1545-9A22-459A6B664441}" name="CLIENTE" dataDxfId="34" totalsRowDxfId="33"/>
    <tableColumn id="4" xr3:uid="{8D2146CE-31F8-0E47-9484-9FA219854433}" name="Valor Cobrado" dataDxfId="32" totalsRowDxfId="31"/>
    <tableColumn id="9" xr3:uid="{A4AAAFAF-CE70-DC4D-A62E-529C57029DE7}" name="Valor PAGO" dataDxfId="30" totalsRowDxfId="29"/>
    <tableColumn id="7" xr3:uid="{1146760D-35F1-6943-96C6-42BF36EE1510}" name="Nota Fiscal" dataDxfId="28" totalsRowDxfId="27" dataCellStyle="Data"/>
    <tableColumn id="8" xr3:uid="{BEC93583-AD74-CF4E-9C8C-D4F5F73AA5B0}" name="Fornecedor" dataDxfId="26" totalsRowDxfId="25" dataCellStyle="Data">
      <calculatedColumnFormula>G4-TODAY()</calculatedColumnFormula>
    </tableColumn>
    <tableColumn id="6" xr3:uid="{765C86E3-269B-D248-AFA2-4F2317562D3F}" name="STATUS" dataDxfId="24" totalsRowDxfId="23" dataCellStyle="Data"/>
    <tableColumn id="16" xr3:uid="{76ACE578-FDB1-DD4E-998D-BB540DB90BC3}" name="Observação" dataDxfId="22" totalsRowDxfId="21" dataCellStyle="Data"/>
  </tableColumns>
  <tableStyleInfo name="Inventário da Casa" showFirstColumn="1" showLastColumn="0" showRowStripes="1" showColumnStripes="0"/>
  <extLst>
    <ext xmlns:x14="http://schemas.microsoft.com/office/spreadsheetml/2009/9/main" uri="{504A1905-F514-4f6f-8877-14C23A59335A}">
      <x14:table altTextSummary="Lista de itens de inventário doméstico, como nº do item (campo calculado), cômodo/área, informações do item, informações da compra, valor atual estimado, observações e foto (campo Sim/Não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1DD6533-F48D-EE45-92EC-A26762FD18B6}" name="Tabela1" displayName="Tabela1" ref="A8:E33" totalsRowShown="0" headerRowDxfId="20" dataDxfId="19" tableBorderDxfId="18">
  <autoFilter ref="A8:E33" xr:uid="{21DD6533-F48D-EE45-92EC-A26762FD18B6}"/>
  <tableColumns count="5">
    <tableColumn id="1" xr3:uid="{12CF5432-34E3-C04D-9667-5734E9C7B18D}" name="Qtd." dataDxfId="17"/>
    <tableColumn id="2" xr3:uid="{DC78F516-CB30-AE49-9605-057C58B2F505}" name="Nº doc" dataDxfId="16"/>
    <tableColumn id="3" xr3:uid="{BB2C457C-C46E-264E-A8D1-D15CB56A5412}" name="Descrição" dataDxfId="15"/>
    <tableColumn id="4" xr3:uid="{9099F8F4-7D11-D542-AA56-7D6D0AA11B5D}" name="Preço unitário" dataDxfId="14"/>
    <tableColumn id="6" xr3:uid="{33D51E6D-CEE8-F34F-A8E9-5ECAA28B50CC}" name="Total " dataDxfId="13">
      <calculatedColumnFormula>IF(SUM(A9)&gt;0,SUM((A9*D9)-#REF!),"")</calculatedColumnFormula>
    </tableColumn>
  </tableColumns>
  <tableStyleInfo name="Recibo de vendas design Azul Simples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oomLookup" displayName="RoomLookup" ref="B3:B15">
  <autoFilter ref="B3:B15" xr:uid="{00000000-0009-0000-0100-000002000000}"/>
  <sortState xmlns:xlrd2="http://schemas.microsoft.com/office/spreadsheetml/2017/richdata2" ref="B4:B15">
    <sortCondition ref="B3:B15"/>
  </sortState>
  <tableColumns count="1">
    <tableColumn id="1" xr3:uid="{00000000-0010-0000-0100-000001000000}" name="Coluna1" totalsRowFunction="count"/>
  </tableColumns>
  <tableStyleInfo name="Inventário da Casa" showFirstColumn="0" showLastColumn="0" showRowStripes="1" showColumnStripes="0"/>
  <extLst>
    <ext xmlns:x14="http://schemas.microsoft.com/office/spreadsheetml/2009/9/main" uri="{504A1905-F514-4f6f-8877-14C23A59335A}">
      <x14:table altTextSummary="Uma mesa contendo cômodos ou áreas de uma casa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Home Inventory">
      <a:dk1>
        <a:sysClr val="windowText" lastClr="000000"/>
      </a:dk1>
      <a:lt1>
        <a:sysClr val="window" lastClr="FFFFFF"/>
      </a:lt1>
      <a:dk2>
        <a:srgbClr val="4F998E"/>
      </a:dk2>
      <a:lt2>
        <a:srgbClr val="CCEBE8"/>
      </a:lt2>
      <a:accent1>
        <a:srgbClr val="CC3104"/>
      </a:accent1>
      <a:accent2>
        <a:srgbClr val="FF931E"/>
      </a:accent2>
      <a:accent3>
        <a:srgbClr val="E59881"/>
      </a:accent3>
      <a:accent4>
        <a:srgbClr val="A49B8D"/>
      </a:accent4>
      <a:accent5>
        <a:srgbClr val="A8AD6C"/>
      </a:accent5>
      <a:accent6>
        <a:srgbClr val="CC3104"/>
      </a:accent6>
      <a:hlink>
        <a:srgbClr val="FF931E"/>
      </a:hlink>
      <a:folHlink>
        <a:srgbClr val="FFC000"/>
      </a:folHlink>
    </a:clrScheme>
    <a:fontScheme name="Home Inventory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Smart@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ED3F-AC64-4B13-9D48-88570CC87E8B}">
  <dimension ref="A1"/>
  <sheetViews>
    <sheetView showGridLines="0" workbookViewId="0"/>
  </sheetViews>
  <sheetFormatPr baseColWidth="10" defaultColWidth="8.83203125" defaultRowHeight="1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3"/>
    <pageSetUpPr autoPageBreaks="0" fitToPage="1"/>
  </sheetPr>
  <dimension ref="A1:S52"/>
  <sheetViews>
    <sheetView showGridLines="0" zoomScaleNormal="100" workbookViewId="0">
      <selection activeCell="F40" sqref="F40"/>
    </sheetView>
  </sheetViews>
  <sheetFormatPr baseColWidth="10" defaultColWidth="8.83203125" defaultRowHeight="30" customHeight="1" x14ac:dyDescent="0.2"/>
  <cols>
    <col min="1" max="1" width="2.6640625" style="1" customWidth="1"/>
    <col min="2" max="2" width="15.6640625" style="1" hidden="1" customWidth="1"/>
    <col min="3" max="3" width="15.6640625" style="1" customWidth="1"/>
    <col min="4" max="4" width="20.83203125" style="1" bestFit="1" customWidth="1"/>
    <col min="5" max="5" width="12.83203125" style="11" bestFit="1" customWidth="1"/>
    <col min="6" max="6" width="12.83203125" style="1" customWidth="1"/>
    <col min="7" max="7" width="17.1640625" style="1" bestFit="1" customWidth="1"/>
    <col min="8" max="8" width="23.1640625" style="1" customWidth="1"/>
    <col min="9" max="9" width="16.6640625" style="1" bestFit="1" customWidth="1"/>
    <col min="10" max="10" width="15" style="20" bestFit="1" customWidth="1"/>
    <col min="11" max="11" width="13.83203125" style="20" hidden="1" customWidth="1"/>
    <col min="12" max="12" width="12.5" style="11" bestFit="1" customWidth="1"/>
    <col min="13" max="13" width="17" bestFit="1" customWidth="1"/>
    <col min="15" max="15" width="13.1640625" bestFit="1" customWidth="1"/>
    <col min="19" max="19" width="13.1640625" bestFit="1" customWidth="1"/>
  </cols>
  <sheetData>
    <row r="1" spans="1:19" ht="89.5" customHeight="1" x14ac:dyDescent="0.2">
      <c r="A1" s="2"/>
      <c r="B1" s="173" t="s">
        <v>14</v>
      </c>
      <c r="C1" s="173"/>
      <c r="D1" s="173"/>
      <c r="E1" s="173"/>
      <c r="F1" s="173"/>
      <c r="G1" s="173"/>
      <c r="H1" s="173"/>
      <c r="I1" s="173"/>
      <c r="J1" s="173"/>
      <c r="K1" s="173"/>
      <c r="L1" s="23"/>
    </row>
    <row r="2" spans="1:19" ht="69" customHeight="1" x14ac:dyDescent="0.2">
      <c r="A2" s="2"/>
      <c r="B2" s="5"/>
      <c r="C2" s="5"/>
      <c r="D2" s="2"/>
      <c r="E2" s="23"/>
      <c r="F2" s="2"/>
      <c r="G2" s="2"/>
      <c r="H2" s="2"/>
      <c r="I2" s="2"/>
      <c r="J2" s="17"/>
      <c r="K2" s="17"/>
      <c r="L2" s="23"/>
    </row>
    <row r="3" spans="1:19" s="14" customFormat="1" ht="48" customHeight="1" x14ac:dyDescent="0.2">
      <c r="A3" s="12"/>
      <c r="B3" s="13" t="s">
        <v>6</v>
      </c>
      <c r="C3" s="26" t="s">
        <v>1</v>
      </c>
      <c r="D3" s="27" t="s">
        <v>8</v>
      </c>
      <c r="E3" s="27" t="s">
        <v>9</v>
      </c>
      <c r="F3" s="27" t="s">
        <v>32</v>
      </c>
      <c r="G3" s="27" t="s">
        <v>10</v>
      </c>
      <c r="H3" s="27" t="s">
        <v>201</v>
      </c>
      <c r="I3" s="27" t="s">
        <v>11</v>
      </c>
      <c r="J3" s="28" t="s">
        <v>7</v>
      </c>
      <c r="K3" s="28" t="s">
        <v>12</v>
      </c>
      <c r="L3" s="28" t="s">
        <v>16</v>
      </c>
      <c r="M3" s="15"/>
      <c r="N3" s="172" t="s">
        <v>30</v>
      </c>
      <c r="O3" s="172"/>
      <c r="P3" s="1"/>
      <c r="Q3" s="1"/>
      <c r="R3" s="172" t="s">
        <v>45</v>
      </c>
      <c r="S3" s="172"/>
    </row>
    <row r="4" spans="1:19" ht="30" hidden="1" customHeight="1" x14ac:dyDescent="0.2">
      <c r="B4" s="6">
        <f>ROW($A1)</f>
        <v>1</v>
      </c>
      <c r="C4" s="6">
        <v>1</v>
      </c>
      <c r="D4" t="s">
        <v>3</v>
      </c>
      <c r="E4" s="10" t="s">
        <v>4</v>
      </c>
      <c r="F4" s="22" t="s">
        <v>40</v>
      </c>
      <c r="G4" s="24">
        <v>45145</v>
      </c>
      <c r="H4" s="16">
        <f t="shared" ref="H4:H10" ca="1" si="0">G4-TODAY()</f>
        <v>-60</v>
      </c>
      <c r="I4" s="7"/>
      <c r="J4" s="18">
        <v>17000</v>
      </c>
      <c r="K4" s="33">
        <v>85000</v>
      </c>
      <c r="L4" s="10" t="s">
        <v>13</v>
      </c>
      <c r="N4" s="1" t="s">
        <v>13</v>
      </c>
      <c r="O4" s="20">
        <f>SUMIF(Inventário[STATUS],"PAGO",Inventário[PARCELA])</f>
        <v>673650.01</v>
      </c>
      <c r="P4" s="1"/>
      <c r="Q4" s="1"/>
      <c r="R4" s="1" t="s">
        <v>33</v>
      </c>
      <c r="S4" s="20">
        <f>SUMIF(Inventário[MÊS],"Janeiro",Inventário[PARCELA])</f>
        <v>0</v>
      </c>
    </row>
    <row r="5" spans="1:19" ht="30" hidden="1" customHeight="1" x14ac:dyDescent="0.2">
      <c r="B5" s="6" t="e">
        <f>ROW(#REF!)</f>
        <v>#REF!</v>
      </c>
      <c r="C5" s="6">
        <v>2</v>
      </c>
      <c r="D5" t="s">
        <v>3</v>
      </c>
      <c r="E5" s="10" t="s">
        <v>4</v>
      </c>
      <c r="F5" s="22" t="s">
        <v>40</v>
      </c>
      <c r="G5" s="24">
        <v>45156</v>
      </c>
      <c r="H5" s="16">
        <f t="shared" ca="1" si="0"/>
        <v>-49</v>
      </c>
      <c r="I5" s="7"/>
      <c r="J5" s="18">
        <v>11333.35</v>
      </c>
      <c r="K5" s="21">
        <f>K4-J4-Inventário[[#This Row],[PARCELA]]</f>
        <v>56666.65</v>
      </c>
      <c r="L5" s="10" t="s">
        <v>13</v>
      </c>
      <c r="N5" s="1" t="s">
        <v>28</v>
      </c>
      <c r="O5" s="20">
        <f>SUMIF(Inventário[STATUS],"EM ATRASO",Inventário[PARCELA])</f>
        <v>0</v>
      </c>
      <c r="P5" s="1"/>
      <c r="Q5" s="1"/>
      <c r="R5" s="1" t="s">
        <v>34</v>
      </c>
      <c r="S5" s="20">
        <f>SUMIF(Inventário[MÊS],"Fevereiro",Inventário[PARCELA])</f>
        <v>75000</v>
      </c>
    </row>
    <row r="6" spans="1:19" ht="30" customHeight="1" x14ac:dyDescent="0.2">
      <c r="A6"/>
      <c r="B6" s="6" t="e">
        <f>ROW(#REF!)</f>
        <v>#REF!</v>
      </c>
      <c r="C6" s="6">
        <v>3</v>
      </c>
      <c r="D6" t="s">
        <v>3</v>
      </c>
      <c r="E6" s="10" t="s">
        <v>4</v>
      </c>
      <c r="F6" s="22" t="s">
        <v>41</v>
      </c>
      <c r="G6" s="24">
        <v>45171</v>
      </c>
      <c r="H6" s="16"/>
      <c r="I6" s="7">
        <v>45174</v>
      </c>
      <c r="J6" s="18">
        <v>11333.33</v>
      </c>
      <c r="K6" s="21">
        <f>K5-Inventário[[#This Row],[PARCELA]]</f>
        <v>45333.32</v>
      </c>
      <c r="L6" s="10" t="s">
        <v>13</v>
      </c>
      <c r="N6" s="1" t="s">
        <v>29</v>
      </c>
      <c r="O6" s="20">
        <f>SUMIF(Inventário[STATUS],"A RECEBER",Inventário[PARCELA])</f>
        <v>69880</v>
      </c>
      <c r="P6" s="1"/>
      <c r="Q6" s="1"/>
      <c r="R6" s="1" t="s">
        <v>35</v>
      </c>
      <c r="S6" s="20">
        <f>SUMIF(Inventário[MÊS],"Março",Inventário[PARCELA])</f>
        <v>25000</v>
      </c>
    </row>
    <row r="7" spans="1:19" ht="30" customHeight="1" x14ac:dyDescent="0.2">
      <c r="B7" s="6" t="e">
        <f>ROW(#REF!)</f>
        <v>#REF!</v>
      </c>
      <c r="C7" s="6">
        <v>4</v>
      </c>
      <c r="D7" t="s">
        <v>3</v>
      </c>
      <c r="E7" s="10" t="s">
        <v>4</v>
      </c>
      <c r="F7" s="22" t="s">
        <v>41</v>
      </c>
      <c r="G7" s="24">
        <v>45187</v>
      </c>
      <c r="H7" s="16"/>
      <c r="I7" s="7"/>
      <c r="J7" s="18">
        <v>11333.33</v>
      </c>
      <c r="K7" s="21">
        <f>K6-Inventário[[#This Row],[PARCELA]]</f>
        <v>33999.99</v>
      </c>
      <c r="L7" s="10" t="s">
        <v>222</v>
      </c>
      <c r="N7" s="1" t="s">
        <v>30</v>
      </c>
      <c r="O7" s="20">
        <f>SUM(O4:O6)</f>
        <v>743530.01</v>
      </c>
      <c r="P7" s="1"/>
      <c r="Q7" s="1"/>
      <c r="R7" s="1" t="s">
        <v>36</v>
      </c>
      <c r="S7" s="20">
        <f>SUMIF(Inventário[MÊS],"Abril",Inventário[PARCELA])</f>
        <v>84000</v>
      </c>
    </row>
    <row r="8" spans="1:19" ht="30" hidden="1" customHeight="1" x14ac:dyDescent="0.2">
      <c r="B8" s="6" t="e">
        <f>ROW(#REF!)</f>
        <v>#REF!</v>
      </c>
      <c r="C8" s="6">
        <v>5</v>
      </c>
      <c r="D8" t="s">
        <v>3</v>
      </c>
      <c r="E8" s="10" t="s">
        <v>4</v>
      </c>
      <c r="F8" s="22" t="s">
        <v>42</v>
      </c>
      <c r="G8" s="24">
        <v>45201</v>
      </c>
      <c r="H8" s="16">
        <f t="shared" ca="1" si="0"/>
        <v>-4</v>
      </c>
      <c r="I8" s="7"/>
      <c r="J8" s="18">
        <v>11333.33</v>
      </c>
      <c r="K8" s="21">
        <f>K7-Inventário[[#This Row],[PARCELA]]</f>
        <v>22666.659999999996</v>
      </c>
      <c r="L8" s="10" t="s">
        <v>222</v>
      </c>
      <c r="N8" s="1"/>
      <c r="O8" s="1"/>
      <c r="P8" s="1"/>
      <c r="Q8" s="1"/>
      <c r="R8" s="1" t="s">
        <v>37</v>
      </c>
      <c r="S8" s="20">
        <f>SUMIF(Inventário[MÊS],"Maio",Inventário[PARCELA])</f>
        <v>190260</v>
      </c>
    </row>
    <row r="9" spans="1:19" ht="30" hidden="1" customHeight="1" x14ac:dyDescent="0.2">
      <c r="B9" s="8" t="e">
        <f>ROW(#REF!)</f>
        <v>#REF!</v>
      </c>
      <c r="C9" s="6">
        <v>6</v>
      </c>
      <c r="D9" t="s">
        <v>3</v>
      </c>
      <c r="E9" s="10" t="s">
        <v>4</v>
      </c>
      <c r="F9" s="22" t="s">
        <v>42</v>
      </c>
      <c r="G9" s="24">
        <v>45216</v>
      </c>
      <c r="H9" s="16">
        <f t="shared" ca="1" si="0"/>
        <v>11</v>
      </c>
      <c r="I9" s="7"/>
      <c r="J9" s="18">
        <v>11333.33</v>
      </c>
      <c r="K9" s="21">
        <f>K8-Inventário[[#This Row],[PARCELA]]</f>
        <v>11333.329999999996</v>
      </c>
      <c r="L9" s="10" t="s">
        <v>222</v>
      </c>
      <c r="N9" s="1"/>
      <c r="O9" s="1"/>
      <c r="P9" s="1"/>
      <c r="Q9" s="1"/>
      <c r="R9" s="1" t="s">
        <v>38</v>
      </c>
      <c r="S9" s="20">
        <f>SUMIF(Inventário[MÊS],"Junho",Inventário[PARCELA])</f>
        <v>81260</v>
      </c>
    </row>
    <row r="10" spans="1:19" ht="30" hidden="1" customHeight="1" x14ac:dyDescent="0.2">
      <c r="B10" s="8" t="e">
        <f>ROW(#REF!)</f>
        <v>#REF!</v>
      </c>
      <c r="C10" s="6">
        <v>7</v>
      </c>
      <c r="D10" t="s">
        <v>3</v>
      </c>
      <c r="E10" s="10" t="s">
        <v>4</v>
      </c>
      <c r="F10" s="22" t="s">
        <v>43</v>
      </c>
      <c r="G10" s="24">
        <v>45231</v>
      </c>
      <c r="H10" s="16">
        <f t="shared" ca="1" si="0"/>
        <v>26</v>
      </c>
      <c r="I10" s="7"/>
      <c r="J10" s="18">
        <v>11333.33</v>
      </c>
      <c r="K10" s="21">
        <f>K9-Inventário[[#This Row],[PARCELA]]</f>
        <v>0</v>
      </c>
      <c r="L10" s="10" t="s">
        <v>13</v>
      </c>
      <c r="N10" s="1"/>
      <c r="O10" s="1"/>
      <c r="P10" s="1"/>
      <c r="Q10" s="1"/>
      <c r="R10" s="1" t="s">
        <v>39</v>
      </c>
      <c r="S10" s="20">
        <f>SUMIF(Inventário[MÊS],"Julho",Inventário[PARCELA])</f>
        <v>32630</v>
      </c>
    </row>
    <row r="11" spans="1:19" ht="30" hidden="1" customHeight="1" x14ac:dyDescent="0.2">
      <c r="B11" s="8" t="e">
        <f>ROW(#REF!)</f>
        <v>#REF!</v>
      </c>
      <c r="C11" s="8">
        <v>1</v>
      </c>
      <c r="D11" s="1" t="s">
        <v>129</v>
      </c>
      <c r="E11" s="11" t="s">
        <v>4</v>
      </c>
      <c r="F11" s="22" t="s">
        <v>34</v>
      </c>
      <c r="G11" s="25">
        <v>44966</v>
      </c>
      <c r="H11" s="9"/>
      <c r="I11" s="9"/>
      <c r="J11" s="19">
        <v>75000</v>
      </c>
      <c r="K11" s="34">
        <v>150000</v>
      </c>
      <c r="L11" s="10" t="s">
        <v>13</v>
      </c>
      <c r="N11" s="1"/>
      <c r="O11" s="1"/>
      <c r="P11" s="1"/>
      <c r="Q11" s="1"/>
      <c r="R11" s="1" t="s">
        <v>40</v>
      </c>
      <c r="S11" s="20">
        <f>SUMIF(Inventário[MÊS],"Agosto",Inventário[PARCELA])</f>
        <v>139833.35</v>
      </c>
    </row>
    <row r="12" spans="1:19" ht="30" hidden="1" customHeight="1" x14ac:dyDescent="0.2">
      <c r="B12" s="8">
        <f t="shared" ref="B12:B16" si="1">ROW($A2)</f>
        <v>2</v>
      </c>
      <c r="C12" s="8">
        <v>2</v>
      </c>
      <c r="D12" s="1" t="s">
        <v>129</v>
      </c>
      <c r="E12" s="11" t="s">
        <v>4</v>
      </c>
      <c r="F12" s="22" t="s">
        <v>35</v>
      </c>
      <c r="G12" s="25">
        <v>44988</v>
      </c>
      <c r="H12" s="9"/>
      <c r="I12" s="9"/>
      <c r="J12" s="19">
        <v>25000</v>
      </c>
      <c r="K12" s="19">
        <f>K11-J11-Inventário[[#This Row],[PARCELA]]</f>
        <v>50000</v>
      </c>
      <c r="L12" s="10" t="s">
        <v>13</v>
      </c>
      <c r="N12" s="1"/>
      <c r="O12" s="1"/>
      <c r="P12" s="1"/>
      <c r="Q12" s="1"/>
      <c r="R12" s="1" t="s">
        <v>41</v>
      </c>
      <c r="S12" s="20">
        <f>SUMIF(Inventário[MÊS],"Setembro",Inventário[PARCELA])</f>
        <v>67046.66</v>
      </c>
    </row>
    <row r="13" spans="1:19" ht="30" hidden="1" customHeight="1" x14ac:dyDescent="0.2">
      <c r="B13" s="8">
        <f t="shared" si="1"/>
        <v>3</v>
      </c>
      <c r="C13" s="8">
        <v>3</v>
      </c>
      <c r="D13" s="1" t="s">
        <v>129</v>
      </c>
      <c r="E13" s="11" t="s">
        <v>4</v>
      </c>
      <c r="F13" s="22" t="s">
        <v>36</v>
      </c>
      <c r="G13" s="25">
        <v>45019</v>
      </c>
      <c r="H13" s="9"/>
      <c r="I13" s="9"/>
      <c r="J13" s="19">
        <v>25000</v>
      </c>
      <c r="K13" s="19">
        <f>Inventário[[#This Row],[PARCELA]]</f>
        <v>25000</v>
      </c>
      <c r="L13" s="10" t="s">
        <v>13</v>
      </c>
      <c r="N13" s="1"/>
      <c r="O13" s="1"/>
      <c r="P13" s="1"/>
      <c r="Q13" s="1"/>
      <c r="R13" s="1" t="s">
        <v>42</v>
      </c>
      <c r="S13" s="20">
        <f>SUMIF(Inventário[MÊS],"Outubro",Inventário[PARCELA])</f>
        <v>42666.66</v>
      </c>
    </row>
    <row r="14" spans="1:19" ht="30" hidden="1" customHeight="1" x14ac:dyDescent="0.2">
      <c r="B14" s="8">
        <f t="shared" si="1"/>
        <v>4</v>
      </c>
      <c r="C14" s="8">
        <v>4</v>
      </c>
      <c r="D14" s="1" t="s">
        <v>129</v>
      </c>
      <c r="E14" s="11" t="s">
        <v>4</v>
      </c>
      <c r="F14" s="22" t="s">
        <v>37</v>
      </c>
      <c r="G14" s="25">
        <v>45049</v>
      </c>
      <c r="H14" s="9"/>
      <c r="I14" s="9"/>
      <c r="J14" s="19">
        <v>25000</v>
      </c>
      <c r="K14" s="19">
        <f>K13-Inventário[[#This Row],[PARCELA]]</f>
        <v>0</v>
      </c>
      <c r="L14" s="10" t="s">
        <v>13</v>
      </c>
      <c r="N14" s="1"/>
      <c r="O14" s="1"/>
      <c r="P14" s="1"/>
      <c r="Q14" s="1"/>
      <c r="R14" s="1" t="s">
        <v>43</v>
      </c>
      <c r="S14" s="20">
        <f>SUMIF(Inventário[MÊS],"Novembro",Inventário[PARCELA])</f>
        <v>11333.33</v>
      </c>
    </row>
    <row r="15" spans="1:19" ht="30" hidden="1" customHeight="1" x14ac:dyDescent="0.2">
      <c r="B15" s="8">
        <f t="shared" si="1"/>
        <v>5</v>
      </c>
      <c r="C15" s="8">
        <v>1</v>
      </c>
      <c r="D15" s="1" t="s">
        <v>130</v>
      </c>
      <c r="E15" s="11" t="s">
        <v>4</v>
      </c>
      <c r="F15" s="22" t="s">
        <v>36</v>
      </c>
      <c r="G15" s="25">
        <v>45021</v>
      </c>
      <c r="H15" s="9"/>
      <c r="I15" s="9"/>
      <c r="J15" s="19">
        <v>59000</v>
      </c>
      <c r="K15" s="34">
        <v>180000</v>
      </c>
      <c r="L15" s="10" t="s">
        <v>13</v>
      </c>
      <c r="N15" s="1"/>
      <c r="O15" s="1"/>
      <c r="P15" s="1"/>
      <c r="Q15" s="1"/>
      <c r="R15" s="1" t="s">
        <v>44</v>
      </c>
      <c r="S15" s="20">
        <f>SUMIF(Inventário[MÊS],"Dezembro",Inventário[PARCELA])</f>
        <v>7500</v>
      </c>
    </row>
    <row r="16" spans="1:19" ht="30" hidden="1" customHeight="1" x14ac:dyDescent="0.2">
      <c r="B16" s="8">
        <f t="shared" si="1"/>
        <v>6</v>
      </c>
      <c r="C16" s="8">
        <v>2</v>
      </c>
      <c r="D16" s="1" t="s">
        <v>130</v>
      </c>
      <c r="E16" s="11" t="s">
        <v>4</v>
      </c>
      <c r="F16" s="22" t="s">
        <v>37</v>
      </c>
      <c r="G16" s="25">
        <v>45051</v>
      </c>
      <c r="H16" s="9"/>
      <c r="I16" s="9"/>
      <c r="J16" s="19">
        <v>59000</v>
      </c>
      <c r="K16" s="19">
        <f>K15-J15-Inventário[[#This Row],[PARCELA]]</f>
        <v>62000</v>
      </c>
      <c r="L16" s="10" t="s">
        <v>13</v>
      </c>
    </row>
    <row r="17" spans="2:12" ht="30" hidden="1" customHeight="1" x14ac:dyDescent="0.2">
      <c r="B17" s="8">
        <f t="shared" ref="B17:B33" si="2">ROW($A14)</f>
        <v>14</v>
      </c>
      <c r="C17" s="8">
        <v>3</v>
      </c>
      <c r="D17" s="1" t="s">
        <v>130</v>
      </c>
      <c r="E17" s="11" t="s">
        <v>4</v>
      </c>
      <c r="F17" s="35" t="s">
        <v>38</v>
      </c>
      <c r="G17" s="25">
        <v>45082</v>
      </c>
      <c r="H17" s="9"/>
      <c r="I17" s="9"/>
      <c r="J17" s="19">
        <v>59000</v>
      </c>
      <c r="K17" s="19">
        <f>K16-Inventário[[#This Row],[PARCELA]]</f>
        <v>3000</v>
      </c>
      <c r="L17" s="32" t="s">
        <v>13</v>
      </c>
    </row>
    <row r="18" spans="2:12" ht="30" hidden="1" customHeight="1" x14ac:dyDescent="0.2">
      <c r="B18" s="8">
        <f t="shared" si="2"/>
        <v>15</v>
      </c>
      <c r="C18" s="8">
        <v>1</v>
      </c>
      <c r="D18" s="1" t="s">
        <v>131</v>
      </c>
      <c r="E18" s="11" t="s">
        <v>4</v>
      </c>
      <c r="F18" s="35" t="s">
        <v>37</v>
      </c>
      <c r="G18" s="25">
        <v>45054</v>
      </c>
      <c r="H18" s="9"/>
      <c r="I18" s="9"/>
      <c r="J18" s="19">
        <v>11130</v>
      </c>
      <c r="K18" s="19">
        <v>55650</v>
      </c>
      <c r="L18" s="10" t="s">
        <v>13</v>
      </c>
    </row>
    <row r="19" spans="2:12" ht="30" hidden="1" customHeight="1" x14ac:dyDescent="0.2">
      <c r="B19" s="8">
        <f t="shared" si="2"/>
        <v>16</v>
      </c>
      <c r="C19" s="8">
        <v>2</v>
      </c>
      <c r="D19" s="1" t="s">
        <v>131</v>
      </c>
      <c r="E19" s="11" t="s">
        <v>4</v>
      </c>
      <c r="F19" s="35" t="s">
        <v>37</v>
      </c>
      <c r="G19" s="25">
        <v>45066</v>
      </c>
      <c r="H19" s="9"/>
      <c r="I19" s="9"/>
      <c r="J19" s="19">
        <v>11130</v>
      </c>
      <c r="K19" s="19">
        <f>K18-J18-Inventário[[#This Row],[PARCELA]]</f>
        <v>33390</v>
      </c>
      <c r="L19" s="10" t="s">
        <v>13</v>
      </c>
    </row>
    <row r="20" spans="2:12" ht="30" hidden="1" customHeight="1" x14ac:dyDescent="0.2">
      <c r="B20" s="8">
        <f t="shared" si="2"/>
        <v>17</v>
      </c>
      <c r="C20" s="8">
        <v>3</v>
      </c>
      <c r="D20" s="1" t="s">
        <v>131</v>
      </c>
      <c r="E20" s="11" t="s">
        <v>4</v>
      </c>
      <c r="F20" s="35" t="s">
        <v>38</v>
      </c>
      <c r="G20" s="25">
        <v>45080</v>
      </c>
      <c r="H20" s="9"/>
      <c r="I20" s="9"/>
      <c r="J20" s="19">
        <v>11130</v>
      </c>
      <c r="K20" s="19">
        <f>K19-Inventário[[#This Row],[PARCELA]]</f>
        <v>22260</v>
      </c>
      <c r="L20" s="10" t="s">
        <v>13</v>
      </c>
    </row>
    <row r="21" spans="2:12" ht="30" hidden="1" customHeight="1" x14ac:dyDescent="0.2">
      <c r="B21" s="8">
        <f t="shared" si="2"/>
        <v>18</v>
      </c>
      <c r="C21" s="8">
        <v>4</v>
      </c>
      <c r="D21" s="1" t="s">
        <v>131</v>
      </c>
      <c r="E21" s="11" t="s">
        <v>4</v>
      </c>
      <c r="F21" s="35" t="s">
        <v>38</v>
      </c>
      <c r="G21" s="25">
        <v>45097</v>
      </c>
      <c r="H21" s="9"/>
      <c r="I21" s="9"/>
      <c r="J21" s="19">
        <v>11130</v>
      </c>
      <c r="K21" s="19">
        <f>K20-Inventário[[#This Row],[PARCELA]]</f>
        <v>11130</v>
      </c>
      <c r="L21" s="10" t="s">
        <v>13</v>
      </c>
    </row>
    <row r="22" spans="2:12" ht="30" hidden="1" customHeight="1" x14ac:dyDescent="0.2">
      <c r="B22" s="8">
        <f t="shared" si="2"/>
        <v>19</v>
      </c>
      <c r="C22" s="8">
        <v>5</v>
      </c>
      <c r="D22" s="1" t="s">
        <v>131</v>
      </c>
      <c r="E22" s="11" t="s">
        <v>4</v>
      </c>
      <c r="F22" s="35" t="s">
        <v>39</v>
      </c>
      <c r="G22" s="25">
        <v>45110</v>
      </c>
      <c r="H22" s="9"/>
      <c r="I22" s="9"/>
      <c r="J22" s="19">
        <v>11130</v>
      </c>
      <c r="K22" s="19">
        <f>K21-Inventário[[#This Row],[PARCELA]]</f>
        <v>0</v>
      </c>
      <c r="L22" s="10" t="s">
        <v>13</v>
      </c>
    </row>
    <row r="23" spans="2:12" ht="30" hidden="1" customHeight="1" x14ac:dyDescent="0.2">
      <c r="B23" s="8">
        <f>ROW($A20)</f>
        <v>20</v>
      </c>
      <c r="C23" s="8">
        <v>1</v>
      </c>
      <c r="D23" s="1" t="s">
        <v>131</v>
      </c>
      <c r="E23" s="11" t="s">
        <v>200</v>
      </c>
      <c r="F23" s="35" t="s">
        <v>40</v>
      </c>
      <c r="G23" s="25">
        <v>45149</v>
      </c>
      <c r="H23" s="9"/>
      <c r="I23" s="9"/>
      <c r="J23" s="19">
        <v>16500</v>
      </c>
      <c r="K23" s="19">
        <v>33000</v>
      </c>
      <c r="L23" s="32" t="s">
        <v>13</v>
      </c>
    </row>
    <row r="24" spans="2:12" ht="30" customHeight="1" x14ac:dyDescent="0.2">
      <c r="B24" s="8">
        <f>ROW($A20)</f>
        <v>20</v>
      </c>
      <c r="C24" s="8">
        <v>2</v>
      </c>
      <c r="D24" s="1" t="s">
        <v>131</v>
      </c>
      <c r="E24" s="11" t="s">
        <v>200</v>
      </c>
      <c r="F24" s="35" t="s">
        <v>41</v>
      </c>
      <c r="G24" s="25">
        <v>45194</v>
      </c>
      <c r="H24" s="9"/>
      <c r="I24" s="9"/>
      <c r="J24" s="19">
        <v>16500</v>
      </c>
      <c r="K24" s="19">
        <f>K23-J23-Inventário[[#This Row],[PARCELA]]</f>
        <v>0</v>
      </c>
      <c r="L24" s="10" t="s">
        <v>29</v>
      </c>
    </row>
    <row r="25" spans="2:12" ht="30" hidden="1" customHeight="1" x14ac:dyDescent="0.2">
      <c r="B25" s="8">
        <f>ROW($A20)</f>
        <v>20</v>
      </c>
      <c r="C25" s="8">
        <v>1</v>
      </c>
      <c r="D25" s="1" t="s">
        <v>132</v>
      </c>
      <c r="E25" s="11" t="s">
        <v>133</v>
      </c>
      <c r="F25" s="35" t="s">
        <v>37</v>
      </c>
      <c r="G25" s="25">
        <v>45061</v>
      </c>
      <c r="H25" s="9"/>
      <c r="I25" s="9"/>
      <c r="J25" s="19">
        <v>50000</v>
      </c>
      <c r="K25" s="19">
        <v>100000</v>
      </c>
      <c r="L25" s="10" t="s">
        <v>13</v>
      </c>
    </row>
    <row r="26" spans="2:12" ht="30" hidden="1" customHeight="1" x14ac:dyDescent="0.2">
      <c r="B26" s="8">
        <f>ROW($A21)</f>
        <v>21</v>
      </c>
      <c r="C26" s="8">
        <v>2</v>
      </c>
      <c r="D26" s="1" t="s">
        <v>132</v>
      </c>
      <c r="E26" s="11" t="s">
        <v>133</v>
      </c>
      <c r="F26" s="35" t="s">
        <v>37</v>
      </c>
      <c r="G26" s="25">
        <v>45061</v>
      </c>
      <c r="H26" s="9"/>
      <c r="I26" s="9"/>
      <c r="J26" s="19">
        <v>30000</v>
      </c>
      <c r="K26" s="19">
        <f>K25-J25-Inventário[[#This Row],[PARCELA]]</f>
        <v>20000</v>
      </c>
      <c r="L26" s="10" t="s">
        <v>13</v>
      </c>
    </row>
    <row r="27" spans="2:12" ht="30" hidden="1" customHeight="1" x14ac:dyDescent="0.2">
      <c r="B27" s="8">
        <f>ROW($A22)</f>
        <v>22</v>
      </c>
      <c r="C27" s="8">
        <v>3</v>
      </c>
      <c r="D27" s="1" t="s">
        <v>132</v>
      </c>
      <c r="E27" s="11" t="s">
        <v>133</v>
      </c>
      <c r="F27" s="35"/>
      <c r="G27" s="25"/>
      <c r="H27" s="9" t="s">
        <v>202</v>
      </c>
      <c r="I27" s="9"/>
      <c r="J27" s="19">
        <v>20000</v>
      </c>
      <c r="K27" s="19"/>
      <c r="L27" s="32" t="s">
        <v>29</v>
      </c>
    </row>
    <row r="28" spans="2:12" ht="30" hidden="1" customHeight="1" x14ac:dyDescent="0.2">
      <c r="B28" s="8">
        <f t="shared" si="2"/>
        <v>25</v>
      </c>
      <c r="C28" s="8">
        <v>1</v>
      </c>
      <c r="D28" s="1" t="s">
        <v>134</v>
      </c>
      <c r="E28" s="11" t="s">
        <v>4</v>
      </c>
      <c r="F28" s="35" t="s">
        <v>37</v>
      </c>
      <c r="G28" s="25">
        <v>45056</v>
      </c>
      <c r="H28" s="9"/>
      <c r="I28" s="9"/>
      <c r="J28" s="19">
        <v>2000</v>
      </c>
      <c r="K28" s="19">
        <v>4000</v>
      </c>
      <c r="L28" s="10" t="s">
        <v>13</v>
      </c>
    </row>
    <row r="29" spans="2:12" ht="30" hidden="1" customHeight="1" x14ac:dyDescent="0.2">
      <c r="B29" s="8">
        <f t="shared" si="2"/>
        <v>26</v>
      </c>
      <c r="C29" s="8">
        <v>2</v>
      </c>
      <c r="D29" s="1" t="s">
        <v>134</v>
      </c>
      <c r="E29" s="11" t="s">
        <v>4</v>
      </c>
      <c r="F29" s="35" t="s">
        <v>37</v>
      </c>
      <c r="G29" s="25">
        <v>45076</v>
      </c>
      <c r="H29" s="9"/>
      <c r="I29" s="9"/>
      <c r="J29" s="19">
        <v>2000</v>
      </c>
      <c r="K29" s="19">
        <f>K28-J28-Inventário[[#This Row],[PARCELA]]</f>
        <v>0</v>
      </c>
      <c r="L29" s="10" t="s">
        <v>13</v>
      </c>
    </row>
    <row r="30" spans="2:12" ht="30" hidden="1" customHeight="1" x14ac:dyDescent="0.2">
      <c r="B30" s="8">
        <f t="shared" si="2"/>
        <v>27</v>
      </c>
      <c r="C30" s="8">
        <v>1</v>
      </c>
      <c r="D30" s="1" t="s">
        <v>135</v>
      </c>
      <c r="E30" s="11" t="s">
        <v>4</v>
      </c>
      <c r="F30" s="35" t="s">
        <v>39</v>
      </c>
      <c r="G30" s="25">
        <v>45117</v>
      </c>
      <c r="H30" s="9"/>
      <c r="I30" s="9"/>
      <c r="J30" s="19">
        <v>1500</v>
      </c>
      <c r="K30" s="19">
        <v>2500</v>
      </c>
      <c r="L30" s="10" t="s">
        <v>13</v>
      </c>
    </row>
    <row r="31" spans="2:12" ht="30" hidden="1" customHeight="1" x14ac:dyDescent="0.2">
      <c r="B31" s="8">
        <f t="shared" si="2"/>
        <v>28</v>
      </c>
      <c r="C31" s="8">
        <v>2</v>
      </c>
      <c r="D31" s="1" t="s">
        <v>135</v>
      </c>
      <c r="E31" s="11" t="s">
        <v>4</v>
      </c>
      <c r="F31" s="35"/>
      <c r="G31" s="25"/>
      <c r="H31" s="9" t="s">
        <v>203</v>
      </c>
      <c r="I31" s="9"/>
      <c r="J31" s="19">
        <v>1000</v>
      </c>
      <c r="K31" s="19"/>
      <c r="L31" s="32" t="s">
        <v>29</v>
      </c>
    </row>
    <row r="32" spans="2:12" ht="30" hidden="1" customHeight="1" x14ac:dyDescent="0.2">
      <c r="B32" s="8">
        <f t="shared" si="2"/>
        <v>29</v>
      </c>
      <c r="C32" s="8">
        <v>1</v>
      </c>
      <c r="D32" s="1" t="s">
        <v>136</v>
      </c>
      <c r="E32" s="11" t="s">
        <v>4</v>
      </c>
      <c r="F32" s="35" t="s">
        <v>40</v>
      </c>
      <c r="G32" s="25">
        <v>45159</v>
      </c>
      <c r="H32" s="9"/>
      <c r="I32" s="9">
        <v>45159</v>
      </c>
      <c r="J32" s="19">
        <v>75000</v>
      </c>
      <c r="K32" s="19">
        <v>82500</v>
      </c>
      <c r="L32" s="32" t="s">
        <v>13</v>
      </c>
    </row>
    <row r="33" spans="2:12" ht="30" hidden="1" customHeight="1" x14ac:dyDescent="0.2">
      <c r="B33" s="8">
        <f t="shared" si="2"/>
        <v>30</v>
      </c>
      <c r="C33" s="8">
        <v>2</v>
      </c>
      <c r="D33" s="1" t="s">
        <v>136</v>
      </c>
      <c r="E33" s="11" t="s">
        <v>4</v>
      </c>
      <c r="F33" s="35" t="s">
        <v>44</v>
      </c>
      <c r="G33" s="25">
        <v>45270</v>
      </c>
      <c r="H33" s="9"/>
      <c r="I33" s="9" t="s">
        <v>65</v>
      </c>
      <c r="J33" s="19">
        <v>7500</v>
      </c>
      <c r="K33" s="19"/>
      <c r="L33" s="32" t="s">
        <v>29</v>
      </c>
    </row>
    <row r="34" spans="2:12" ht="30" hidden="1" customHeight="1" x14ac:dyDescent="0.2">
      <c r="B34" s="8">
        <f t="shared" ref="B34:B40" si="3">ROW($A31)</f>
        <v>31</v>
      </c>
      <c r="C34" s="8">
        <v>1</v>
      </c>
      <c r="D34" s="1" t="s">
        <v>146</v>
      </c>
      <c r="E34" s="11" t="s">
        <v>4</v>
      </c>
      <c r="F34" s="35" t="s">
        <v>39</v>
      </c>
      <c r="G34" s="25">
        <v>45122</v>
      </c>
      <c r="H34" s="9"/>
      <c r="I34" s="9"/>
      <c r="J34" s="19">
        <v>20000</v>
      </c>
      <c r="K34" s="19">
        <v>80000</v>
      </c>
      <c r="L34" s="32" t="s">
        <v>13</v>
      </c>
    </row>
    <row r="35" spans="2:12" ht="30" hidden="1" customHeight="1" x14ac:dyDescent="0.2">
      <c r="B35" s="8">
        <f t="shared" si="3"/>
        <v>32</v>
      </c>
      <c r="C35" s="8">
        <v>2</v>
      </c>
      <c r="D35" s="1" t="s">
        <v>146</v>
      </c>
      <c r="E35" s="11" t="s">
        <v>4</v>
      </c>
      <c r="F35" s="35" t="s">
        <v>40</v>
      </c>
      <c r="G35" s="25">
        <v>45153</v>
      </c>
      <c r="H35" s="9"/>
      <c r="I35" s="9"/>
      <c r="J35" s="19">
        <v>20000</v>
      </c>
      <c r="K35" s="19">
        <f>K34-J34-Inventário[[#This Row],[PARCELA]]</f>
        <v>40000</v>
      </c>
      <c r="L35" s="32" t="s">
        <v>13</v>
      </c>
    </row>
    <row r="36" spans="2:12" ht="30" customHeight="1" x14ac:dyDescent="0.2">
      <c r="B36" s="8">
        <f t="shared" si="3"/>
        <v>33</v>
      </c>
      <c r="C36" s="8">
        <v>3</v>
      </c>
      <c r="D36" s="1" t="s">
        <v>146</v>
      </c>
      <c r="E36" s="11" t="s">
        <v>4</v>
      </c>
      <c r="F36" s="35" t="s">
        <v>41</v>
      </c>
      <c r="G36" s="25">
        <v>45184</v>
      </c>
      <c r="H36" s="9" t="s">
        <v>231</v>
      </c>
      <c r="I36" s="9">
        <v>45189</v>
      </c>
      <c r="J36" s="19">
        <v>20000</v>
      </c>
      <c r="K36" s="19">
        <f>K35-Inventário[[#This Row],[PARCELA]]</f>
        <v>20000</v>
      </c>
      <c r="L36" s="32" t="s">
        <v>13</v>
      </c>
    </row>
    <row r="37" spans="2:12" ht="30" hidden="1" customHeight="1" x14ac:dyDescent="0.2">
      <c r="B37" s="8">
        <f t="shared" si="3"/>
        <v>34</v>
      </c>
      <c r="C37" s="8">
        <v>4</v>
      </c>
      <c r="D37" s="1" t="s">
        <v>146</v>
      </c>
      <c r="E37" s="11" t="s">
        <v>4</v>
      </c>
      <c r="F37" s="35" t="s">
        <v>42</v>
      </c>
      <c r="G37" s="25">
        <v>45214</v>
      </c>
      <c r="H37" s="9"/>
      <c r="I37" s="9"/>
      <c r="J37" s="19">
        <v>20000</v>
      </c>
      <c r="K37" s="19">
        <f>K36-Inventário[[#This Row],[PARCELA]]</f>
        <v>0</v>
      </c>
      <c r="L37" s="32" t="s">
        <v>29</v>
      </c>
    </row>
    <row r="38" spans="2:12" ht="30" hidden="1" customHeight="1" x14ac:dyDescent="0.2">
      <c r="B38" s="8">
        <f t="shared" si="3"/>
        <v>35</v>
      </c>
      <c r="C38" s="8"/>
      <c r="D38" s="1" t="s">
        <v>205</v>
      </c>
      <c r="F38" s="35"/>
      <c r="G38" s="25"/>
      <c r="H38" s="9"/>
      <c r="I38" s="9"/>
      <c r="J38" s="19"/>
      <c r="K38" s="19"/>
      <c r="L38" s="32"/>
    </row>
    <row r="39" spans="2:12" ht="30" customHeight="1" x14ac:dyDescent="0.2">
      <c r="B39" s="8">
        <f t="shared" si="3"/>
        <v>36</v>
      </c>
      <c r="C39" s="8">
        <v>1</v>
      </c>
      <c r="D39" s="1" t="s">
        <v>221</v>
      </c>
      <c r="E39" s="11" t="s">
        <v>4</v>
      </c>
      <c r="F39" s="35" t="s">
        <v>41</v>
      </c>
      <c r="G39" s="25">
        <v>45187</v>
      </c>
      <c r="H39" s="9"/>
      <c r="I39" s="9"/>
      <c r="J39" s="19">
        <v>3000</v>
      </c>
      <c r="K39" s="19"/>
      <c r="L39" s="32" t="s">
        <v>13</v>
      </c>
    </row>
    <row r="40" spans="2:12" ht="30" customHeight="1" x14ac:dyDescent="0.2">
      <c r="B40" s="8">
        <f t="shared" si="3"/>
        <v>37</v>
      </c>
      <c r="C40" s="8">
        <v>2</v>
      </c>
      <c r="D40" s="1" t="s">
        <v>221</v>
      </c>
      <c r="E40" s="11" t="s">
        <v>4</v>
      </c>
      <c r="F40" s="35" t="s">
        <v>41</v>
      </c>
      <c r="G40" s="25">
        <v>45197</v>
      </c>
      <c r="H40" s="9"/>
      <c r="I40" s="9"/>
      <c r="J40" s="19">
        <v>4880</v>
      </c>
      <c r="K40" s="19"/>
      <c r="L40" s="32" t="s">
        <v>29</v>
      </c>
    </row>
    <row r="41" spans="2:12" ht="30" hidden="1" customHeight="1" x14ac:dyDescent="0.2">
      <c r="B41" s="8">
        <f t="shared" ref="B41:B43" si="4">ROW($A38)</f>
        <v>38</v>
      </c>
      <c r="C41" s="8"/>
      <c r="F41" s="35"/>
      <c r="G41" s="25"/>
      <c r="H41" s="9"/>
      <c r="I41" s="9"/>
      <c r="J41" s="19"/>
      <c r="K41" s="19"/>
      <c r="L41" s="32"/>
    </row>
    <row r="42" spans="2:12" ht="30" hidden="1" customHeight="1" x14ac:dyDescent="0.2">
      <c r="B42" s="8">
        <f t="shared" si="4"/>
        <v>39</v>
      </c>
      <c r="C42" s="8"/>
      <c r="F42" s="35"/>
      <c r="G42" s="25"/>
      <c r="H42" s="9"/>
      <c r="I42" s="9"/>
      <c r="J42" s="19"/>
      <c r="K42" s="19"/>
      <c r="L42" s="32"/>
    </row>
    <row r="43" spans="2:12" ht="30" hidden="1" customHeight="1" x14ac:dyDescent="0.2">
      <c r="B43" s="8">
        <f t="shared" si="4"/>
        <v>40</v>
      </c>
      <c r="C43" s="8"/>
      <c r="F43" s="35"/>
      <c r="G43" s="25"/>
      <c r="H43" s="9"/>
      <c r="I43" s="9"/>
      <c r="J43" s="19"/>
      <c r="K43" s="19"/>
      <c r="L43" s="32"/>
    </row>
    <row r="44" spans="2:12" ht="30" hidden="1" customHeight="1" x14ac:dyDescent="0.2">
      <c r="B44" s="8">
        <f t="shared" ref="B44:B46" si="5">ROW($A38)</f>
        <v>38</v>
      </c>
      <c r="C44" s="8"/>
      <c r="F44" s="35"/>
      <c r="G44" s="25"/>
      <c r="H44" s="9"/>
      <c r="I44" s="9"/>
      <c r="J44" s="19"/>
      <c r="K44" s="19"/>
      <c r="L44" s="32"/>
    </row>
    <row r="45" spans="2:12" ht="30" hidden="1" customHeight="1" x14ac:dyDescent="0.2">
      <c r="B45" s="8">
        <f t="shared" si="5"/>
        <v>39</v>
      </c>
      <c r="C45" s="8"/>
      <c r="F45" s="35"/>
      <c r="G45" s="25"/>
      <c r="H45" s="9"/>
      <c r="I45" s="9"/>
      <c r="J45" s="19"/>
      <c r="K45" s="19"/>
      <c r="L45" s="32"/>
    </row>
    <row r="46" spans="2:12" ht="30" hidden="1" customHeight="1" x14ac:dyDescent="0.2">
      <c r="B46" s="8">
        <f t="shared" si="5"/>
        <v>40</v>
      </c>
      <c r="C46" s="8"/>
      <c r="E46" s="11" t="s">
        <v>223</v>
      </c>
      <c r="F46" s="35"/>
      <c r="G46" s="25"/>
      <c r="H46" s="9"/>
      <c r="I46" s="9"/>
      <c r="J46" s="19"/>
      <c r="K46" s="19"/>
      <c r="L46" s="32"/>
    </row>
    <row r="47" spans="2:12" ht="30" hidden="1" customHeight="1" x14ac:dyDescent="0.2">
      <c r="B47" s="8">
        <f>ROW($A38)</f>
        <v>38</v>
      </c>
      <c r="C47" s="8"/>
      <c r="F47" s="35"/>
      <c r="G47" s="25"/>
      <c r="H47" s="9"/>
      <c r="I47" s="9"/>
      <c r="J47" s="19"/>
      <c r="K47" s="19"/>
      <c r="L47" s="32"/>
    </row>
    <row r="48" spans="2:12" ht="30" hidden="1" customHeight="1" x14ac:dyDescent="0.2">
      <c r="B48" s="8">
        <f>ROW($A38)</f>
        <v>38</v>
      </c>
      <c r="C48" s="8"/>
      <c r="F48" s="35"/>
      <c r="G48" s="25"/>
      <c r="H48" s="9"/>
      <c r="I48" s="9"/>
      <c r="J48" s="19"/>
      <c r="K48" s="19"/>
      <c r="L48" s="32"/>
    </row>
    <row r="49" spans="2:12" ht="30" hidden="1" customHeight="1" x14ac:dyDescent="0.2">
      <c r="B49" s="8">
        <f>ROW($A38)</f>
        <v>38</v>
      </c>
      <c r="C49" s="8"/>
      <c r="F49" s="35"/>
      <c r="G49" s="25"/>
      <c r="H49" s="9"/>
      <c r="I49" s="9"/>
      <c r="J49" s="19"/>
      <c r="K49" s="19"/>
      <c r="L49" s="32"/>
    </row>
    <row r="50" spans="2:12" ht="30" customHeight="1" x14ac:dyDescent="0.2">
      <c r="B50" s="2" t="s">
        <v>0</v>
      </c>
      <c r="C50" s="29" t="s">
        <v>125</v>
      </c>
      <c r="D50" s="29"/>
      <c r="E50" s="31"/>
      <c r="F50" s="29"/>
      <c r="G50" s="29"/>
      <c r="H50" s="29"/>
      <c r="I50" s="29"/>
      <c r="J50" s="30"/>
      <c r="K50" s="30"/>
      <c r="L50" s="31"/>
    </row>
    <row r="52" spans="2:12" ht="30" customHeight="1" x14ac:dyDescent="0.2">
      <c r="C52" s="174" t="s">
        <v>214</v>
      </c>
      <c r="D52" s="174"/>
      <c r="E52" s="174"/>
      <c r="F52" s="174"/>
      <c r="G52" s="174"/>
      <c r="H52" s="174"/>
      <c r="I52" s="174"/>
    </row>
  </sheetData>
  <dataConsolidate/>
  <mergeCells count="4">
    <mergeCell ref="N3:O3"/>
    <mergeCell ref="R3:S3"/>
    <mergeCell ref="B1:K1"/>
    <mergeCell ref="C52:I52"/>
  </mergeCells>
  <phoneticPr fontId="4" type="noConversion"/>
  <conditionalFormatting sqref="K4">
    <cfRule type="containsText" dxfId="12" priority="14" operator="containsText" text="Sim">
      <formula>NOT(ISERROR(SEARCH("Sim",K4)))</formula>
    </cfRule>
  </conditionalFormatting>
  <conditionalFormatting sqref="L4:L49">
    <cfRule type="containsText" dxfId="11" priority="1" operator="containsText" text="PAGO">
      <formula>NOT(ISERROR(SEARCH("PAGO",L4)))</formula>
    </cfRule>
    <cfRule type="containsText" dxfId="10" priority="2" operator="containsText" text="EM ATRASO">
      <formula>NOT(ISERROR(SEARCH("EM ATRASO",L4)))</formula>
    </cfRule>
    <cfRule type="containsText" dxfId="9" priority="3" operator="containsText" text="A RECEBER">
      <formula>NOT(ISERROR(SEARCH("A RECEBER",L4)))</formula>
    </cfRule>
    <cfRule type="containsText" dxfId="8" priority="4" operator="containsText" text="PAGO">
      <formula>NOT(ISERROR(SEARCH("PAGO",L4)))</formula>
    </cfRule>
  </conditionalFormatting>
  <dataValidations count="10">
    <dataValidation allowBlank="1" showInputMessage="1" showErrorMessage="1" prompt="O título desta planilha está nas células B1 a D1" sqref="B1" xr:uid="{00000000-0002-0000-0000-000000000000}"/>
    <dataValidation allowBlank="1" showInputMessage="1" showErrorMessage="1" prompt="Crie um Inventário da Casa nesta pasta de trabalho. Insira os detalhes do proprietário, seguro e inventário nesta planilha. O valor total estimado de todos os itens de estoque é calculado automaticamente" sqref="A1" xr:uid="{00000000-0002-0000-0000-00000F000000}"/>
    <dataValidation allowBlank="1" showInputMessage="1" showErrorMessage="1" prompt="Insira o número do item nesta coluna sob este título. Use filtros de título para encontrar entradas específicas" sqref="B3:C3" xr:uid="{00000000-0002-0000-0000-000010000000}"/>
    <dataValidation allowBlank="1" showInputMessage="1" showErrorMessage="1" prompt="Digite o item/descrição nesta coluna sob este título" sqref="E3:F3" xr:uid="{00000000-0002-0000-0000-000011000000}"/>
    <dataValidation allowBlank="1" showInputMessage="1" showErrorMessage="1" prompt="Selecione o cômodo/área nesta coluna sob este título. Insira o novo cômodo/área na Consulta de Cômodos. Pressione ALT+SETA PARA BAIXO para ver opções, depois SETA PARA BAIXO e ENTER para fazer a seleção" sqref="D3" xr:uid="{00000000-0002-0000-0000-000012000000}"/>
    <dataValidation allowBlank="1" showInputMessage="1" showErrorMessage="1" prompt="Insira a data da compra nesta coluna sob este título" sqref="G3 I3" xr:uid="{00000000-0002-0000-0000-000015000000}"/>
    <dataValidation allowBlank="1" showInputMessage="1" showErrorMessage="1" prompt="Selecione &quot;Sim&quot;, se houver uma foto do item, ou &quot;Não&quot; na coluna sob este cabeçalho. Pressione Alt+Seta para baixo para ver as opções e, em seguida, Seta para baixo e Enter para fazer a seleção" sqref="H3 J3:L3" xr:uid="{00000000-0002-0000-0000-00001A000000}"/>
    <dataValidation type="list" errorStyle="warning" allowBlank="1" showInputMessage="1" showErrorMessage="1" error="Selecione Sim ou Não na lista para indicar se existe uma foto do item. Selecione CANCELAR, em seguida, pressione Alt+Seta para baixo para opções e, depois, Seta para baixo e Enter para fazer a seleção" sqref="K4:K10" xr:uid="{00000000-0002-0000-0000-00001C000000}">
      <formula1>"Sim, Não"</formula1>
    </dataValidation>
    <dataValidation type="list" errorStyle="warning" allowBlank="1" showInputMessage="1" showErrorMessage="1" error="Selecione o cômodo/área da lista. Insira a nova planilha de cômodo/área na Consulta de Cômodos. Selecione CANCELAR, pressione ALT+SETA PARA BAIXO para ver opções, depois para SETA PARA BAIXO e ENTER para fazer a seleção" sqref="D4:D49" xr:uid="{00000000-0002-0000-0000-00001D000000}">
      <formula1>RoomList</formula1>
    </dataValidation>
    <dataValidation allowBlank="1" showInputMessage="1" showErrorMessage="1" errorTitle="Dados Inválidos" error="Selecione uma entrada da lista. Para adicionar ou alterar itens, use a tabela Cômodo/Área na planilha Consulta de Cômodos." sqref="B4:C49" xr:uid="{00000000-0002-0000-0000-00001E000000}"/>
  </dataValidations>
  <printOptions horizontalCentered="1"/>
  <pageMargins left="0.25" right="0.25" top="0.75" bottom="0.75" header="0.3" footer="0.3"/>
  <pageSetup paperSize="9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0C58CE-AA36-44C9-BD19-6E7CC2FE8045}">
          <x14:formula1>
            <xm:f>BASES!$H$4:$H$7</xm:f>
          </x14:formula1>
          <xm:sqref>L4:L49</xm:sqref>
        </x14:dataValidation>
        <x14:dataValidation type="list" allowBlank="1" showInputMessage="1" showErrorMessage="1" xr:uid="{AD13577D-B3A9-4510-866C-ADF51B342E00}">
          <x14:formula1>
            <xm:f>BASES!$G$4:$G$15</xm:f>
          </x14:formula1>
          <xm:sqref>F4:F49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7A3C-E066-5E4D-BBA2-B643503F1395}">
  <sheetPr filterMode="1"/>
  <dimension ref="A1:S102"/>
  <sheetViews>
    <sheetView showGridLines="0" topLeftCell="A21" workbookViewId="0">
      <selection activeCell="C43" sqref="C43"/>
    </sheetView>
  </sheetViews>
  <sheetFormatPr baseColWidth="10" defaultColWidth="17.6640625" defaultRowHeight="30" customHeight="1" x14ac:dyDescent="0.2"/>
  <cols>
    <col min="1" max="1" width="23.6640625" customWidth="1"/>
    <col min="3" max="3" width="21.6640625" bestFit="1" customWidth="1"/>
    <col min="4" max="4" width="20.83203125" bestFit="1" customWidth="1"/>
    <col min="5" max="5" width="17.6640625" style="21"/>
    <col min="6" max="7" width="0" hidden="1" customWidth="1"/>
    <col min="8" max="8" width="20.1640625" hidden="1" customWidth="1"/>
    <col min="9" max="9" width="17.5" customWidth="1"/>
    <col min="10" max="10" width="54.33203125" bestFit="1" customWidth="1"/>
    <col min="15" max="15" width="17.6640625" style="21"/>
    <col min="16" max="16" width="17.6640625" style="10"/>
    <col min="19" max="19" width="29.33203125" customWidth="1"/>
  </cols>
  <sheetData>
    <row r="1" spans="1:19" ht="52" customHeight="1" x14ac:dyDescent="0.2">
      <c r="A1" s="177" t="s">
        <v>151</v>
      </c>
      <c r="B1" s="177"/>
      <c r="C1" s="177"/>
      <c r="D1" s="177"/>
      <c r="E1" s="177"/>
      <c r="F1" s="177"/>
      <c r="G1" s="177"/>
      <c r="H1" s="177"/>
      <c r="I1" s="177"/>
      <c r="J1" s="177"/>
      <c r="L1" s="177" t="s">
        <v>191</v>
      </c>
      <c r="M1" s="177"/>
      <c r="N1" s="177"/>
      <c r="O1" s="177"/>
      <c r="P1" s="177"/>
      <c r="Q1" s="177"/>
      <c r="R1" s="177"/>
      <c r="S1" s="177"/>
    </row>
    <row r="2" spans="1:19" ht="69" customHeight="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L2" s="177"/>
      <c r="M2" s="177"/>
      <c r="N2" s="177"/>
      <c r="O2" s="177"/>
      <c r="P2" s="177"/>
      <c r="Q2" s="177"/>
      <c r="R2" s="177"/>
      <c r="S2" s="177"/>
    </row>
    <row r="3" spans="1:19" s="14" customFormat="1" ht="44" customHeight="1" x14ac:dyDescent="0.2">
      <c r="A3" s="90" t="s">
        <v>180</v>
      </c>
      <c r="B3" s="90" t="s">
        <v>165</v>
      </c>
      <c r="C3" s="90" t="s">
        <v>166</v>
      </c>
      <c r="D3" s="91" t="s">
        <v>8</v>
      </c>
      <c r="E3" s="126" t="s">
        <v>141</v>
      </c>
      <c r="F3" s="91" t="s">
        <v>142</v>
      </c>
      <c r="G3" s="91" t="s">
        <v>143</v>
      </c>
      <c r="H3" s="91" t="s">
        <v>144</v>
      </c>
      <c r="I3" s="91" t="s">
        <v>16</v>
      </c>
      <c r="J3" s="91" t="s">
        <v>83</v>
      </c>
      <c r="K3" s="15"/>
      <c r="L3" s="137" t="s">
        <v>165</v>
      </c>
      <c r="M3" s="137" t="s">
        <v>188</v>
      </c>
      <c r="N3" s="137" t="s">
        <v>189</v>
      </c>
      <c r="O3" s="144" t="s">
        <v>50</v>
      </c>
      <c r="P3" s="137" t="s">
        <v>190</v>
      </c>
      <c r="Q3" s="178" t="s">
        <v>83</v>
      </c>
      <c r="R3" s="179"/>
      <c r="S3" s="179"/>
    </row>
    <row r="4" spans="1:19" s="1" customFormat="1" ht="19" customHeight="1" x14ac:dyDescent="0.2">
      <c r="A4" s="129" t="s">
        <v>176</v>
      </c>
      <c r="B4" s="125" t="s">
        <v>105</v>
      </c>
      <c r="C4" s="170" t="s">
        <v>208</v>
      </c>
      <c r="D4" s="127" t="s">
        <v>135</v>
      </c>
      <c r="E4" s="128">
        <v>369</v>
      </c>
      <c r="F4" s="125" t="s">
        <v>65</v>
      </c>
      <c r="G4" s="125" t="s">
        <v>65</v>
      </c>
      <c r="H4" s="125" t="s">
        <v>171</v>
      </c>
      <c r="I4" s="125" t="s">
        <v>13</v>
      </c>
      <c r="J4" s="125" t="s">
        <v>169</v>
      </c>
      <c r="L4" s="180" t="s">
        <v>105</v>
      </c>
      <c r="M4" s="139" t="s">
        <v>183</v>
      </c>
      <c r="N4" s="139" t="s">
        <v>187</v>
      </c>
      <c r="O4" s="140">
        <v>178.5</v>
      </c>
      <c r="P4" s="140" t="s">
        <v>28</v>
      </c>
      <c r="Q4" s="176" t="s">
        <v>230</v>
      </c>
      <c r="R4" s="176"/>
      <c r="S4" s="176"/>
    </row>
    <row r="5" spans="1:19" s="1" customFormat="1" ht="19" customHeight="1" x14ac:dyDescent="0.2">
      <c r="A5" s="129" t="s">
        <v>176</v>
      </c>
      <c r="B5" s="125" t="s">
        <v>105</v>
      </c>
      <c r="C5" s="170" t="s">
        <v>208</v>
      </c>
      <c r="D5" s="127" t="s">
        <v>145</v>
      </c>
      <c r="E5" s="128">
        <v>1286.2</v>
      </c>
      <c r="F5" s="125" t="s">
        <v>65</v>
      </c>
      <c r="G5" s="125">
        <v>167204</v>
      </c>
      <c r="H5" s="125" t="s">
        <v>149</v>
      </c>
      <c r="I5" s="125" t="s">
        <v>13</v>
      </c>
      <c r="J5" s="125"/>
      <c r="L5" s="180"/>
      <c r="M5" s="142" t="s">
        <v>183</v>
      </c>
      <c r="N5" s="142" t="s">
        <v>147</v>
      </c>
      <c r="O5" s="143">
        <v>3200.33</v>
      </c>
      <c r="P5" s="140" t="s">
        <v>13</v>
      </c>
      <c r="Q5" s="175"/>
      <c r="R5" s="175"/>
      <c r="S5" s="175"/>
    </row>
    <row r="6" spans="1:19" s="1" customFormat="1" ht="19" x14ac:dyDescent="0.2">
      <c r="A6" s="129" t="s">
        <v>176</v>
      </c>
      <c r="B6" s="125" t="s">
        <v>105</v>
      </c>
      <c r="C6" s="170" t="s">
        <v>208</v>
      </c>
      <c r="D6" s="127" t="s">
        <v>146</v>
      </c>
      <c r="E6" s="128">
        <f>56.9*1</f>
        <v>56.9</v>
      </c>
      <c r="F6" s="125">
        <v>40.24</v>
      </c>
      <c r="G6" s="125">
        <v>167502</v>
      </c>
      <c r="H6" s="125" t="s">
        <v>149</v>
      </c>
      <c r="I6" s="125" t="s">
        <v>28</v>
      </c>
      <c r="J6" s="125"/>
      <c r="L6" s="180"/>
      <c r="M6" s="139" t="s">
        <v>184</v>
      </c>
      <c r="N6" s="139" t="s">
        <v>147</v>
      </c>
      <c r="O6" s="140">
        <v>250.11</v>
      </c>
      <c r="P6" s="140" t="s">
        <v>13</v>
      </c>
      <c r="Q6" s="176"/>
      <c r="R6" s="176"/>
      <c r="S6" s="176"/>
    </row>
    <row r="7" spans="1:19" s="1" customFormat="1" ht="19" customHeight="1" x14ac:dyDescent="0.2">
      <c r="A7" s="129" t="s">
        <v>176</v>
      </c>
      <c r="B7" s="125" t="s">
        <v>105</v>
      </c>
      <c r="C7" s="170" t="s">
        <v>208</v>
      </c>
      <c r="D7" s="127" t="s">
        <v>146</v>
      </c>
      <c r="E7" s="128">
        <v>21.76</v>
      </c>
      <c r="F7" s="125" t="s">
        <v>65</v>
      </c>
      <c r="G7" s="125">
        <v>167756</v>
      </c>
      <c r="H7" s="125" t="s">
        <v>149</v>
      </c>
      <c r="I7" s="125" t="s">
        <v>28</v>
      </c>
      <c r="J7" s="125"/>
      <c r="L7" s="180"/>
      <c r="M7" s="142" t="s">
        <v>184</v>
      </c>
      <c r="N7" s="142" t="s">
        <v>185</v>
      </c>
      <c r="O7" s="143">
        <v>141.54</v>
      </c>
      <c r="P7" s="140" t="s">
        <v>28</v>
      </c>
      <c r="Q7" s="175" t="s">
        <v>227</v>
      </c>
      <c r="R7" s="175"/>
      <c r="S7" s="175"/>
    </row>
    <row r="8" spans="1:19" s="1" customFormat="1" ht="19" x14ac:dyDescent="0.2">
      <c r="A8" s="129" t="s">
        <v>176</v>
      </c>
      <c r="B8" s="125" t="s">
        <v>105</v>
      </c>
      <c r="C8" s="170" t="s">
        <v>208</v>
      </c>
      <c r="D8" s="127" t="s">
        <v>146</v>
      </c>
      <c r="E8" s="128">
        <v>64</v>
      </c>
      <c r="F8" s="125" t="s">
        <v>65</v>
      </c>
      <c r="G8" s="125">
        <v>1455</v>
      </c>
      <c r="H8" s="125"/>
      <c r="I8" s="125" t="s">
        <v>28</v>
      </c>
      <c r="J8" s="125"/>
      <c r="L8" s="180"/>
      <c r="M8" s="139" t="s">
        <v>186</v>
      </c>
      <c r="N8" s="139" t="s">
        <v>145</v>
      </c>
      <c r="O8" s="140">
        <v>1736.45</v>
      </c>
      <c r="P8" s="140" t="s">
        <v>13</v>
      </c>
      <c r="Q8" s="176"/>
      <c r="R8" s="176"/>
      <c r="S8" s="176"/>
    </row>
    <row r="9" spans="1:19" s="1" customFormat="1" ht="19" x14ac:dyDescent="0.2">
      <c r="A9" s="129" t="s">
        <v>176</v>
      </c>
      <c r="B9" s="125" t="s">
        <v>105</v>
      </c>
      <c r="C9" s="170" t="s">
        <v>208</v>
      </c>
      <c r="D9" s="127" t="s">
        <v>146</v>
      </c>
      <c r="E9" s="128">
        <v>107.7</v>
      </c>
      <c r="F9" s="125" t="s">
        <v>65</v>
      </c>
      <c r="G9" s="125">
        <v>1453</v>
      </c>
      <c r="H9" s="125"/>
      <c r="I9" s="125" t="s">
        <v>28</v>
      </c>
      <c r="J9" s="125"/>
      <c r="L9" s="180"/>
      <c r="M9" s="142" t="s">
        <v>186</v>
      </c>
      <c r="N9" s="142" t="s">
        <v>147</v>
      </c>
      <c r="O9" s="143">
        <v>1104.99</v>
      </c>
      <c r="P9" s="140" t="s">
        <v>28</v>
      </c>
      <c r="Q9" s="175" t="s">
        <v>227</v>
      </c>
      <c r="R9" s="175"/>
      <c r="S9" s="175"/>
    </row>
    <row r="10" spans="1:19" s="1" customFormat="1" ht="19" x14ac:dyDescent="0.2">
      <c r="A10" s="129" t="s">
        <v>176</v>
      </c>
      <c r="B10" s="125" t="s">
        <v>105</v>
      </c>
      <c r="C10" s="170" t="s">
        <v>208</v>
      </c>
      <c r="D10" s="127" t="s">
        <v>147</v>
      </c>
      <c r="E10" s="128">
        <v>149.63999999999999</v>
      </c>
      <c r="F10" s="125" t="s">
        <v>65</v>
      </c>
      <c r="G10" s="125" t="s">
        <v>148</v>
      </c>
      <c r="H10" s="125" t="s">
        <v>170</v>
      </c>
      <c r="I10" s="125" t="s">
        <v>28</v>
      </c>
      <c r="J10" s="125" t="s">
        <v>150</v>
      </c>
      <c r="L10" s="180"/>
      <c r="M10" s="139" t="s">
        <v>65</v>
      </c>
      <c r="N10" s="139" t="s">
        <v>204</v>
      </c>
      <c r="O10" s="140">
        <v>4712.5</v>
      </c>
      <c r="P10" s="140" t="s">
        <v>28</v>
      </c>
      <c r="Q10" s="176" t="s">
        <v>228</v>
      </c>
      <c r="R10" s="176"/>
      <c r="S10" s="176"/>
    </row>
    <row r="11" spans="1:19" s="1" customFormat="1" ht="19" x14ac:dyDescent="0.2">
      <c r="A11" s="129" t="s">
        <v>176</v>
      </c>
      <c r="B11" s="89" t="s">
        <v>105</v>
      </c>
      <c r="C11" s="171" t="s">
        <v>208</v>
      </c>
      <c r="D11" s="127" t="s">
        <v>145</v>
      </c>
      <c r="E11" s="128">
        <v>78.58</v>
      </c>
      <c r="F11" s="125" t="s">
        <v>65</v>
      </c>
      <c r="G11" s="125">
        <v>167922</v>
      </c>
      <c r="H11" s="125" t="s">
        <v>149</v>
      </c>
      <c r="I11" s="125" t="s">
        <v>13</v>
      </c>
      <c r="J11" s="125"/>
      <c r="L11" s="180"/>
      <c r="M11" s="142" t="s">
        <v>184</v>
      </c>
      <c r="N11" s="142" t="s">
        <v>196</v>
      </c>
      <c r="O11" s="143">
        <v>1925.8</v>
      </c>
      <c r="P11" s="140" t="s">
        <v>28</v>
      </c>
      <c r="Q11" s="176" t="s">
        <v>229</v>
      </c>
      <c r="R11" s="176"/>
      <c r="S11" s="176"/>
    </row>
    <row r="12" spans="1:19" s="1" customFormat="1" ht="19" x14ac:dyDescent="0.2">
      <c r="A12" s="129" t="s">
        <v>176</v>
      </c>
      <c r="B12" s="89" t="s">
        <v>105</v>
      </c>
      <c r="C12" s="171" t="s">
        <v>208</v>
      </c>
      <c r="D12" s="127" t="s">
        <v>145</v>
      </c>
      <c r="E12" s="128">
        <v>146.51</v>
      </c>
      <c r="F12" s="125" t="s">
        <v>65</v>
      </c>
      <c r="G12" s="125">
        <v>76485</v>
      </c>
      <c r="H12" s="125" t="s">
        <v>168</v>
      </c>
      <c r="I12" s="125" t="s">
        <v>13</v>
      </c>
      <c r="J12" s="125"/>
      <c r="L12" s="138"/>
      <c r="M12" s="139"/>
      <c r="N12" s="139"/>
      <c r="O12" s="140"/>
      <c r="P12" s="140"/>
      <c r="Q12" s="176"/>
      <c r="R12" s="176"/>
      <c r="S12" s="176"/>
    </row>
    <row r="13" spans="1:19" s="1" customFormat="1" ht="19" x14ac:dyDescent="0.2">
      <c r="A13" s="129" t="s">
        <v>176</v>
      </c>
      <c r="B13" s="89" t="s">
        <v>105</v>
      </c>
      <c r="C13" s="171" t="s">
        <v>208</v>
      </c>
      <c r="D13" s="127" t="s">
        <v>146</v>
      </c>
      <c r="E13" s="128">
        <v>80.900000000000006</v>
      </c>
      <c r="F13" s="125" t="s">
        <v>65</v>
      </c>
      <c r="G13" s="125">
        <v>167883</v>
      </c>
      <c r="H13" s="125"/>
      <c r="I13" s="125" t="s">
        <v>28</v>
      </c>
      <c r="J13" s="125"/>
      <c r="L13" s="141"/>
      <c r="M13" s="142"/>
      <c r="N13" s="142"/>
      <c r="O13" s="143"/>
      <c r="P13" s="140"/>
      <c r="Q13" s="175"/>
      <c r="R13" s="175"/>
      <c r="S13" s="175"/>
    </row>
    <row r="14" spans="1:19" s="1" customFormat="1" ht="19" x14ac:dyDescent="0.2">
      <c r="A14" s="129" t="s">
        <v>176</v>
      </c>
      <c r="B14" s="89" t="s">
        <v>105</v>
      </c>
      <c r="C14" s="171" t="s">
        <v>208</v>
      </c>
      <c r="D14" s="127" t="s">
        <v>145</v>
      </c>
      <c r="E14" s="128">
        <v>4680.8100000000004</v>
      </c>
      <c r="F14" s="125" t="s">
        <v>65</v>
      </c>
      <c r="G14" s="125">
        <v>167880</v>
      </c>
      <c r="H14" s="9"/>
      <c r="I14" s="125" t="s">
        <v>13</v>
      </c>
      <c r="J14" s="9"/>
      <c r="L14" s="138"/>
      <c r="M14" s="139"/>
      <c r="N14" s="139"/>
      <c r="O14" s="140"/>
      <c r="P14" s="140"/>
      <c r="Q14" s="176"/>
      <c r="R14" s="176"/>
      <c r="S14" s="176"/>
    </row>
    <row r="15" spans="1:19" s="1" customFormat="1" ht="19" x14ac:dyDescent="0.2">
      <c r="A15" s="129" t="s">
        <v>176</v>
      </c>
      <c r="B15" s="89" t="s">
        <v>105</v>
      </c>
      <c r="C15" s="171" t="s">
        <v>192</v>
      </c>
      <c r="D15" s="127" t="s">
        <v>193</v>
      </c>
      <c r="E15" s="128">
        <v>834.5</v>
      </c>
      <c r="F15" s="125" t="s">
        <v>65</v>
      </c>
      <c r="G15" s="125">
        <v>317905</v>
      </c>
      <c r="H15" s="125" t="s">
        <v>194</v>
      </c>
      <c r="I15" s="125" t="s">
        <v>13</v>
      </c>
      <c r="J15" s="9"/>
      <c r="L15" s="138"/>
      <c r="M15" s="139"/>
      <c r="N15" s="139"/>
      <c r="O15" s="140"/>
      <c r="P15" s="140"/>
      <c r="Q15" s="176"/>
      <c r="R15" s="176"/>
      <c r="S15" s="176"/>
    </row>
    <row r="16" spans="1:19" s="1" customFormat="1" ht="19" x14ac:dyDescent="0.2">
      <c r="A16" s="129" t="s">
        <v>176</v>
      </c>
      <c r="B16" s="89" t="s">
        <v>105</v>
      </c>
      <c r="C16" s="171" t="s">
        <v>192</v>
      </c>
      <c r="D16" s="127" t="s">
        <v>146</v>
      </c>
      <c r="E16" s="128">
        <v>75.27</v>
      </c>
      <c r="F16" s="125" t="s">
        <v>65</v>
      </c>
      <c r="G16" s="125">
        <v>168381</v>
      </c>
      <c r="H16" s="125" t="s">
        <v>149</v>
      </c>
      <c r="I16" s="125" t="s">
        <v>28</v>
      </c>
      <c r="J16" s="9"/>
      <c r="L16" s="141"/>
      <c r="M16" s="142"/>
      <c r="N16" s="142"/>
      <c r="O16" s="143"/>
      <c r="P16" s="140"/>
      <c r="Q16" s="175"/>
      <c r="R16" s="175"/>
      <c r="S16" s="175"/>
    </row>
    <row r="17" spans="1:19" ht="19" x14ac:dyDescent="0.2">
      <c r="A17" s="129" t="s">
        <v>176</v>
      </c>
      <c r="B17" s="89" t="s">
        <v>105</v>
      </c>
      <c r="C17" s="171" t="s">
        <v>192</v>
      </c>
      <c r="D17" s="127" t="s">
        <v>146</v>
      </c>
      <c r="E17" s="128">
        <v>393.57</v>
      </c>
      <c r="F17" s="125" t="s">
        <v>65</v>
      </c>
      <c r="G17" s="125">
        <v>168290</v>
      </c>
      <c r="H17" s="125" t="s">
        <v>149</v>
      </c>
      <c r="I17" s="125" t="s">
        <v>28</v>
      </c>
      <c r="J17" s="9"/>
      <c r="L17" s="138"/>
      <c r="M17" s="139"/>
      <c r="N17" s="139"/>
      <c r="O17" s="140"/>
      <c r="P17" s="140"/>
      <c r="Q17" s="176"/>
      <c r="R17" s="176"/>
      <c r="S17" s="176"/>
    </row>
    <row r="18" spans="1:19" ht="19" x14ac:dyDescent="0.2">
      <c r="A18" s="129" t="s">
        <v>176</v>
      </c>
      <c r="B18" s="89" t="s">
        <v>105</v>
      </c>
      <c r="C18" s="171" t="s">
        <v>192</v>
      </c>
      <c r="D18" s="127" t="s">
        <v>145</v>
      </c>
      <c r="E18" s="128">
        <v>191.98</v>
      </c>
      <c r="F18" s="125" t="s">
        <v>65</v>
      </c>
      <c r="G18" s="125">
        <v>168382</v>
      </c>
      <c r="H18" s="125" t="s">
        <v>149</v>
      </c>
      <c r="I18" s="125" t="s">
        <v>28</v>
      </c>
      <c r="J18" s="9"/>
    </row>
    <row r="19" spans="1:19" ht="19" x14ac:dyDescent="0.2">
      <c r="A19" s="129" t="s">
        <v>176</v>
      </c>
      <c r="B19" s="89" t="s">
        <v>105</v>
      </c>
      <c r="C19" s="171" t="s">
        <v>192</v>
      </c>
      <c r="D19" s="127" t="s">
        <v>145</v>
      </c>
      <c r="E19" s="128">
        <v>79</v>
      </c>
      <c r="F19" s="125">
        <v>59</v>
      </c>
      <c r="G19" s="125">
        <v>1034</v>
      </c>
      <c r="H19" s="125" t="s">
        <v>195</v>
      </c>
      <c r="I19" s="125" t="s">
        <v>28</v>
      </c>
      <c r="J19" s="9"/>
    </row>
    <row r="20" spans="1:19" ht="19" x14ac:dyDescent="0.2">
      <c r="A20" s="129" t="s">
        <v>176</v>
      </c>
      <c r="B20" s="89" t="s">
        <v>105</v>
      </c>
      <c r="C20" s="171" t="s">
        <v>192</v>
      </c>
      <c r="D20" s="127" t="s">
        <v>145</v>
      </c>
      <c r="E20" s="128">
        <v>419</v>
      </c>
      <c r="F20" s="125"/>
      <c r="G20" s="125">
        <v>168380</v>
      </c>
      <c r="H20" s="125" t="s">
        <v>149</v>
      </c>
      <c r="I20" s="125" t="s">
        <v>28</v>
      </c>
      <c r="J20" s="9"/>
    </row>
    <row r="21" spans="1:19" ht="19" x14ac:dyDescent="0.2">
      <c r="A21" s="129" t="s">
        <v>176</v>
      </c>
      <c r="B21" s="89" t="s">
        <v>105</v>
      </c>
      <c r="C21" s="171" t="s">
        <v>192</v>
      </c>
      <c r="D21" s="127" t="s">
        <v>145</v>
      </c>
      <c r="E21" s="128">
        <v>38</v>
      </c>
      <c r="F21" s="125"/>
      <c r="G21" s="125">
        <v>168578</v>
      </c>
      <c r="H21" s="125" t="s">
        <v>149</v>
      </c>
      <c r="I21" s="125" t="s">
        <v>28</v>
      </c>
      <c r="J21" s="9"/>
    </row>
    <row r="22" spans="1:19" ht="19" x14ac:dyDescent="0.2">
      <c r="A22" s="129" t="s">
        <v>176</v>
      </c>
      <c r="B22" s="89" t="s">
        <v>105</v>
      </c>
      <c r="C22" s="171" t="s">
        <v>192</v>
      </c>
      <c r="D22" s="127" t="s">
        <v>147</v>
      </c>
      <c r="E22" s="128">
        <v>447.32</v>
      </c>
      <c r="F22" s="125"/>
      <c r="G22" s="125">
        <v>168379</v>
      </c>
      <c r="H22" s="125" t="s">
        <v>149</v>
      </c>
      <c r="I22" s="125" t="s">
        <v>28</v>
      </c>
      <c r="J22" s="9"/>
    </row>
    <row r="23" spans="1:19" s="134" customFormat="1" ht="19" x14ac:dyDescent="0.2">
      <c r="A23" s="129" t="s">
        <v>176</v>
      </c>
      <c r="B23" s="89" t="s">
        <v>105</v>
      </c>
      <c r="C23" s="171" t="s">
        <v>192</v>
      </c>
      <c r="D23" s="127" t="s">
        <v>196</v>
      </c>
      <c r="E23" s="128">
        <v>239.4</v>
      </c>
      <c r="F23" s="125">
        <v>153.96</v>
      </c>
      <c r="G23" s="125">
        <v>168449</v>
      </c>
      <c r="H23" s="125" t="s">
        <v>149</v>
      </c>
      <c r="I23" s="125" t="s">
        <v>28</v>
      </c>
      <c r="J23" s="9"/>
      <c r="O23" s="135"/>
      <c r="P23" s="136"/>
    </row>
    <row r="24" spans="1:19" s="134" customFormat="1" ht="19" x14ac:dyDescent="0.2">
      <c r="A24" s="129" t="s">
        <v>176</v>
      </c>
      <c r="B24" s="89" t="s">
        <v>105</v>
      </c>
      <c r="C24" s="171" t="s">
        <v>192</v>
      </c>
      <c r="D24" s="127" t="s">
        <v>197</v>
      </c>
      <c r="E24" s="128">
        <v>18</v>
      </c>
      <c r="F24" s="35"/>
      <c r="G24" s="125">
        <v>1033</v>
      </c>
      <c r="H24" s="125" t="s">
        <v>195</v>
      </c>
      <c r="I24" s="125" t="s">
        <v>28</v>
      </c>
      <c r="J24" s="9"/>
      <c r="O24" s="135"/>
      <c r="P24" s="136"/>
    </row>
    <row r="25" spans="1:19" s="134" customFormat="1" ht="19" x14ac:dyDescent="0.2">
      <c r="A25" s="129" t="s">
        <v>176</v>
      </c>
      <c r="B25" s="89" t="s">
        <v>105</v>
      </c>
      <c r="C25" s="171" t="s">
        <v>192</v>
      </c>
      <c r="D25" s="127" t="s">
        <v>145</v>
      </c>
      <c r="E25" s="128">
        <v>2100</v>
      </c>
      <c r="F25" s="35"/>
      <c r="G25" s="125" t="s">
        <v>65</v>
      </c>
      <c r="H25" s="125" t="s">
        <v>65</v>
      </c>
      <c r="I25" s="125" t="s">
        <v>28</v>
      </c>
      <c r="J25" s="9" t="s">
        <v>199</v>
      </c>
      <c r="O25" s="135"/>
      <c r="P25" s="136"/>
    </row>
    <row r="26" spans="1:19" s="134" customFormat="1" ht="32" x14ac:dyDescent="0.2">
      <c r="A26" s="129" t="s">
        <v>176</v>
      </c>
      <c r="B26" s="89" t="s">
        <v>106</v>
      </c>
      <c r="C26" s="171" t="s">
        <v>206</v>
      </c>
      <c r="D26" s="127" t="s">
        <v>196</v>
      </c>
      <c r="E26" s="128">
        <v>5851.9</v>
      </c>
      <c r="F26" s="35"/>
      <c r="G26" s="125" t="s">
        <v>65</v>
      </c>
      <c r="H26" s="125" t="s">
        <v>30</v>
      </c>
      <c r="I26" s="125" t="s">
        <v>28</v>
      </c>
      <c r="J26" s="9" t="s">
        <v>207</v>
      </c>
      <c r="O26" s="135"/>
      <c r="P26" s="136"/>
    </row>
    <row r="27" spans="1:19" s="134" customFormat="1" ht="19" x14ac:dyDescent="0.2">
      <c r="A27" s="129" t="s">
        <v>198</v>
      </c>
      <c r="B27" s="89" t="s">
        <v>106</v>
      </c>
      <c r="C27" s="171" t="s">
        <v>206</v>
      </c>
      <c r="D27" s="127" t="s">
        <v>145</v>
      </c>
      <c r="E27" s="128">
        <v>91.96</v>
      </c>
      <c r="F27" s="125">
        <v>51.09</v>
      </c>
      <c r="G27" s="125" t="s">
        <v>170</v>
      </c>
      <c r="H27" s="125"/>
      <c r="I27" s="125" t="s">
        <v>29</v>
      </c>
      <c r="J27" s="9"/>
      <c r="O27" s="135"/>
      <c r="P27" s="136"/>
    </row>
    <row r="28" spans="1:19" s="134" customFormat="1" ht="19" x14ac:dyDescent="0.2">
      <c r="A28" s="129" t="s">
        <v>198</v>
      </c>
      <c r="B28" s="89" t="s">
        <v>106</v>
      </c>
      <c r="C28" s="171" t="s">
        <v>206</v>
      </c>
      <c r="D28" s="127" t="s">
        <v>145</v>
      </c>
      <c r="E28" s="128">
        <f>94+4.2</f>
        <v>98.2</v>
      </c>
      <c r="F28" s="125">
        <v>85.7</v>
      </c>
      <c r="G28" s="125" t="s">
        <v>170</v>
      </c>
      <c r="H28" s="125"/>
      <c r="I28" s="125" t="s">
        <v>29</v>
      </c>
      <c r="J28" s="9"/>
      <c r="O28" s="135"/>
      <c r="P28" s="136"/>
    </row>
    <row r="29" spans="1:19" ht="19" x14ac:dyDescent="0.2">
      <c r="A29" s="129" t="s">
        <v>198</v>
      </c>
      <c r="B29" s="89" t="s">
        <v>106</v>
      </c>
      <c r="C29" s="171" t="s">
        <v>206</v>
      </c>
      <c r="D29" s="127" t="s">
        <v>145</v>
      </c>
      <c r="E29" s="128">
        <f>2*9.8</f>
        <v>19.600000000000001</v>
      </c>
      <c r="F29" s="125">
        <v>13.8</v>
      </c>
      <c r="G29" s="125"/>
      <c r="H29" s="125"/>
      <c r="I29" s="125" t="s">
        <v>29</v>
      </c>
      <c r="J29" s="9"/>
    </row>
    <row r="30" spans="1:19" ht="19" x14ac:dyDescent="0.2">
      <c r="A30" s="129" t="s">
        <v>176</v>
      </c>
      <c r="B30" s="89" t="s">
        <v>106</v>
      </c>
      <c r="C30" s="171" t="s">
        <v>206</v>
      </c>
      <c r="D30" s="127" t="s">
        <v>146</v>
      </c>
      <c r="E30" s="128">
        <v>46.92</v>
      </c>
      <c r="F30" s="125">
        <v>39.1</v>
      </c>
      <c r="G30" s="125"/>
      <c r="H30" s="125"/>
      <c r="I30" s="125" t="s">
        <v>29</v>
      </c>
      <c r="J30" s="9"/>
    </row>
    <row r="31" spans="1:19" ht="19" x14ac:dyDescent="0.2">
      <c r="A31" s="129" t="s">
        <v>176</v>
      </c>
      <c r="B31" s="89" t="s">
        <v>106</v>
      </c>
      <c r="C31" s="171" t="s">
        <v>206</v>
      </c>
      <c r="D31" s="127" t="s">
        <v>135</v>
      </c>
      <c r="E31" s="128">
        <v>126.72</v>
      </c>
      <c r="F31" s="125">
        <v>115.2</v>
      </c>
      <c r="G31" s="125"/>
      <c r="H31" s="125"/>
      <c r="I31" s="125" t="s">
        <v>29</v>
      </c>
      <c r="J31" s="9"/>
    </row>
    <row r="32" spans="1:19" ht="19" x14ac:dyDescent="0.2">
      <c r="A32" s="129" t="s">
        <v>176</v>
      </c>
      <c r="B32" s="89" t="s">
        <v>106</v>
      </c>
      <c r="C32" s="171" t="s">
        <v>206</v>
      </c>
      <c r="D32" s="127" t="s">
        <v>146</v>
      </c>
      <c r="E32" s="128">
        <v>164.71</v>
      </c>
      <c r="F32" s="125">
        <v>155.31</v>
      </c>
      <c r="G32" s="125"/>
      <c r="H32" s="125"/>
      <c r="I32" s="125" t="s">
        <v>29</v>
      </c>
      <c r="J32" s="9"/>
    </row>
    <row r="33" spans="1:10" ht="19" x14ac:dyDescent="0.2">
      <c r="A33" s="129" t="s">
        <v>179</v>
      </c>
      <c r="B33" s="89" t="s">
        <v>106</v>
      </c>
      <c r="C33" s="171" t="s">
        <v>206</v>
      </c>
      <c r="D33" s="127" t="s">
        <v>197</v>
      </c>
      <c r="E33" s="128">
        <v>38.5</v>
      </c>
      <c r="F33" s="35"/>
      <c r="G33" s="125"/>
      <c r="H33" s="125"/>
      <c r="I33" s="125" t="s">
        <v>29</v>
      </c>
      <c r="J33" s="9"/>
    </row>
    <row r="34" spans="1:10" ht="19" x14ac:dyDescent="0.2">
      <c r="A34" s="129" t="s">
        <v>179</v>
      </c>
      <c r="B34" s="89" t="s">
        <v>106</v>
      </c>
      <c r="C34" s="171" t="s">
        <v>206</v>
      </c>
      <c r="D34" s="127" t="s">
        <v>215</v>
      </c>
      <c r="E34" s="128">
        <v>73.260000000000005</v>
      </c>
      <c r="F34" s="35"/>
      <c r="G34" s="125"/>
      <c r="H34" s="125"/>
      <c r="I34" s="125" t="s">
        <v>13</v>
      </c>
      <c r="J34" s="9" t="s">
        <v>216</v>
      </c>
    </row>
    <row r="35" spans="1:10" ht="19" x14ac:dyDescent="0.2">
      <c r="A35" s="129" t="s">
        <v>198</v>
      </c>
      <c r="B35" s="89" t="s">
        <v>106</v>
      </c>
      <c r="C35" s="171" t="s">
        <v>206</v>
      </c>
      <c r="D35" s="127" t="s">
        <v>145</v>
      </c>
      <c r="E35" s="128">
        <v>91.96</v>
      </c>
      <c r="F35" s="125">
        <v>51.09</v>
      </c>
      <c r="G35" s="125"/>
      <c r="H35" s="9"/>
      <c r="I35" s="125" t="s">
        <v>29</v>
      </c>
      <c r="J35" s="9"/>
    </row>
    <row r="36" spans="1:10" ht="19" x14ac:dyDescent="0.2">
      <c r="A36" s="129" t="s">
        <v>176</v>
      </c>
      <c r="B36" s="89" t="s">
        <v>106</v>
      </c>
      <c r="C36" s="171" t="s">
        <v>206</v>
      </c>
      <c r="D36" s="127" t="s">
        <v>146</v>
      </c>
      <c r="E36" s="128">
        <v>893.25</v>
      </c>
      <c r="F36" s="125"/>
      <c r="G36" s="125"/>
      <c r="H36" s="9"/>
      <c r="I36" s="125" t="s">
        <v>29</v>
      </c>
      <c r="J36" s="9"/>
    </row>
    <row r="37" spans="1:10" ht="19" x14ac:dyDescent="0.2">
      <c r="A37" s="129" t="s">
        <v>198</v>
      </c>
      <c r="B37" s="89" t="s">
        <v>106</v>
      </c>
      <c r="C37" s="171" t="s">
        <v>206</v>
      </c>
      <c r="D37" s="127" t="s">
        <v>145</v>
      </c>
      <c r="E37" s="128">
        <v>5.2</v>
      </c>
      <c r="F37" s="125">
        <v>4.75</v>
      </c>
      <c r="G37" s="125"/>
      <c r="H37" s="9"/>
      <c r="I37" s="125" t="s">
        <v>29</v>
      </c>
      <c r="J37" s="9"/>
    </row>
    <row r="38" spans="1:10" ht="19" x14ac:dyDescent="0.2">
      <c r="A38" s="129" t="s">
        <v>176</v>
      </c>
      <c r="B38" s="89" t="s">
        <v>106</v>
      </c>
      <c r="C38" s="171" t="s">
        <v>206</v>
      </c>
      <c r="D38" s="127" t="s">
        <v>146</v>
      </c>
      <c r="E38" s="128">
        <v>89.5</v>
      </c>
      <c r="F38" s="125"/>
      <c r="G38" s="125"/>
      <c r="H38" s="9"/>
      <c r="I38" s="125" t="s">
        <v>29</v>
      </c>
      <c r="J38" s="9"/>
    </row>
    <row r="39" spans="1:10" ht="19" x14ac:dyDescent="0.2">
      <c r="A39" s="129" t="s">
        <v>176</v>
      </c>
      <c r="B39" s="89" t="s">
        <v>106</v>
      </c>
      <c r="C39" s="171" t="s">
        <v>206</v>
      </c>
      <c r="D39" s="127" t="s">
        <v>135</v>
      </c>
      <c r="E39" s="128">
        <v>1828</v>
      </c>
      <c r="F39" s="125"/>
      <c r="G39" s="125"/>
      <c r="H39" s="9"/>
      <c r="I39" s="125" t="s">
        <v>29</v>
      </c>
      <c r="J39" s="9"/>
    </row>
    <row r="40" spans="1:10" ht="19" x14ac:dyDescent="0.2">
      <c r="A40" s="129" t="s">
        <v>198</v>
      </c>
      <c r="B40" s="89" t="s">
        <v>106</v>
      </c>
      <c r="C40" s="171" t="s">
        <v>206</v>
      </c>
      <c r="D40" s="127" t="s">
        <v>145</v>
      </c>
      <c r="E40" s="128">
        <v>2100</v>
      </c>
      <c r="F40" s="125"/>
      <c r="G40" s="125"/>
      <c r="H40" s="9"/>
      <c r="I40" s="125" t="s">
        <v>29</v>
      </c>
      <c r="J40" s="9" t="s">
        <v>217</v>
      </c>
    </row>
    <row r="41" spans="1:10" ht="19" x14ac:dyDescent="0.2">
      <c r="A41" s="129" t="s">
        <v>198</v>
      </c>
      <c r="B41" s="89" t="s">
        <v>106</v>
      </c>
      <c r="C41" s="171" t="s">
        <v>206</v>
      </c>
      <c r="D41" s="127" t="s">
        <v>145</v>
      </c>
      <c r="E41" s="128">
        <v>1598</v>
      </c>
      <c r="F41" s="125"/>
      <c r="G41" s="125"/>
      <c r="H41" s="9"/>
      <c r="I41" s="125" t="s">
        <v>29</v>
      </c>
      <c r="J41" s="9" t="s">
        <v>217</v>
      </c>
    </row>
    <row r="42" spans="1:10" ht="19" x14ac:dyDescent="0.2">
      <c r="A42" s="8"/>
      <c r="B42" s="8"/>
      <c r="C42" s="8"/>
      <c r="D42" s="127"/>
      <c r="E42" s="128"/>
      <c r="F42" s="168"/>
      <c r="G42" s="169"/>
      <c r="H42" s="9">
        <f ca="1">G42-TODAY()</f>
        <v>-45205</v>
      </c>
      <c r="I42" s="9"/>
      <c r="J42" s="9"/>
    </row>
    <row r="43" spans="1:10" ht="19" x14ac:dyDescent="0.2">
      <c r="A43" s="129" t="s">
        <v>178</v>
      </c>
      <c r="B43" s="89" t="s">
        <v>106</v>
      </c>
      <c r="C43" s="89" t="s">
        <v>220</v>
      </c>
      <c r="D43" s="127" t="s">
        <v>218</v>
      </c>
      <c r="E43" s="128">
        <v>6541.39</v>
      </c>
      <c r="F43" s="125"/>
      <c r="G43" s="125"/>
      <c r="H43" s="9"/>
      <c r="I43" s="125" t="s">
        <v>29</v>
      </c>
      <c r="J43" s="9" t="s">
        <v>224</v>
      </c>
    </row>
    <row r="44" spans="1:10" ht="19" x14ac:dyDescent="0.2">
      <c r="A44" s="129" t="s">
        <v>176</v>
      </c>
      <c r="B44" s="89" t="s">
        <v>106</v>
      </c>
      <c r="C44" s="89" t="s">
        <v>220</v>
      </c>
      <c r="D44" s="127" t="s">
        <v>185</v>
      </c>
      <c r="E44" s="128">
        <v>44</v>
      </c>
      <c r="F44" s="125"/>
      <c r="G44" s="125"/>
      <c r="H44" s="9"/>
      <c r="I44" s="125" t="s">
        <v>13</v>
      </c>
      <c r="J44" s="9"/>
    </row>
    <row r="45" spans="1:10" ht="32" x14ac:dyDescent="0.2">
      <c r="A45" s="129" t="s">
        <v>176</v>
      </c>
      <c r="B45" s="89" t="s">
        <v>106</v>
      </c>
      <c r="C45" s="89" t="s">
        <v>220</v>
      </c>
      <c r="D45" s="127" t="s">
        <v>219</v>
      </c>
      <c r="E45" s="128">
        <v>34.03</v>
      </c>
      <c r="F45" s="125"/>
      <c r="G45" s="125"/>
      <c r="H45" s="9"/>
      <c r="I45" s="125" t="s">
        <v>29</v>
      </c>
      <c r="J45" s="9" t="s">
        <v>226</v>
      </c>
    </row>
    <row r="46" spans="1:10" ht="19" x14ac:dyDescent="0.2">
      <c r="A46" s="129" t="s">
        <v>176</v>
      </c>
      <c r="B46" s="89" t="s">
        <v>106</v>
      </c>
      <c r="C46" s="89" t="s">
        <v>220</v>
      </c>
      <c r="D46" s="127" t="s">
        <v>135</v>
      </c>
      <c r="E46" s="128">
        <v>1954.7</v>
      </c>
      <c r="F46" s="125"/>
      <c r="G46" s="125"/>
      <c r="H46" s="9"/>
      <c r="I46" s="125" t="s">
        <v>13</v>
      </c>
      <c r="J46" s="9"/>
    </row>
    <row r="47" spans="1:10" ht="19" x14ac:dyDescent="0.2">
      <c r="A47" s="129" t="s">
        <v>176</v>
      </c>
      <c r="B47" s="89" t="s">
        <v>106</v>
      </c>
      <c r="C47" s="89" t="s">
        <v>220</v>
      </c>
      <c r="D47" s="127" t="s">
        <v>146</v>
      </c>
      <c r="E47" s="128">
        <v>1194.3800000000001</v>
      </c>
      <c r="F47" s="125"/>
      <c r="G47" s="125"/>
      <c r="H47" s="9"/>
      <c r="I47" s="125" t="s">
        <v>13</v>
      </c>
      <c r="J47" s="9"/>
    </row>
    <row r="48" spans="1:10" ht="19" x14ac:dyDescent="0.2">
      <c r="A48" s="129"/>
      <c r="B48" s="89"/>
      <c r="C48" s="89"/>
      <c r="D48" s="127"/>
      <c r="E48" s="128"/>
      <c r="F48" s="125"/>
      <c r="G48" s="125"/>
      <c r="H48" s="9"/>
      <c r="I48" s="9"/>
      <c r="J48" s="9"/>
    </row>
    <row r="49" spans="1:10" ht="19" x14ac:dyDescent="0.2">
      <c r="A49" s="129"/>
      <c r="B49" s="89" t="s">
        <v>106</v>
      </c>
      <c r="C49" s="89" t="s">
        <v>225</v>
      </c>
      <c r="D49" s="127"/>
      <c r="E49" s="128"/>
      <c r="F49" s="125"/>
      <c r="G49" s="125"/>
      <c r="H49" s="9"/>
      <c r="I49" s="9"/>
      <c r="J49" s="9"/>
    </row>
    <row r="50" spans="1:10" ht="19" x14ac:dyDescent="0.2">
      <c r="A50" s="129"/>
      <c r="B50" s="89"/>
      <c r="C50" s="89"/>
      <c r="D50" s="127"/>
      <c r="E50" s="128"/>
      <c r="F50" s="125"/>
      <c r="G50" s="125"/>
      <c r="H50" s="9"/>
      <c r="I50" s="9"/>
      <c r="J50" s="9"/>
    </row>
    <row r="51" spans="1:10" ht="19" x14ac:dyDescent="0.2">
      <c r="A51" s="129"/>
      <c r="B51" s="89"/>
      <c r="C51" s="89"/>
      <c r="D51" s="127"/>
      <c r="E51" s="128"/>
      <c r="F51" s="125"/>
      <c r="G51" s="125"/>
      <c r="H51" s="9"/>
      <c r="I51" s="9"/>
      <c r="J51" s="9"/>
    </row>
    <row r="52" spans="1:10" ht="19" x14ac:dyDescent="0.2">
      <c r="A52" s="129"/>
      <c r="B52" s="89"/>
      <c r="C52" s="89"/>
      <c r="D52" s="127"/>
      <c r="E52" s="128"/>
      <c r="F52" s="125"/>
      <c r="G52" s="125"/>
      <c r="H52" s="9"/>
      <c r="I52" s="9"/>
      <c r="J52" s="9"/>
    </row>
    <row r="53" spans="1:10" ht="19" x14ac:dyDescent="0.2">
      <c r="A53" s="129"/>
      <c r="B53" s="89"/>
      <c r="C53" s="89"/>
      <c r="D53" s="127"/>
      <c r="E53" s="128"/>
      <c r="F53" s="125"/>
      <c r="G53" s="125"/>
      <c r="H53" s="9"/>
      <c r="I53" s="9"/>
      <c r="J53" s="9"/>
    </row>
    <row r="54" spans="1:10" ht="15" x14ac:dyDescent="0.2">
      <c r="A54" s="8"/>
      <c r="B54" s="8"/>
      <c r="C54" s="8"/>
      <c r="D54" s="1"/>
      <c r="E54" s="20"/>
      <c r="F54" s="35"/>
      <c r="G54" s="25"/>
      <c r="H54" s="9"/>
      <c r="I54" s="9"/>
      <c r="J54" s="9"/>
    </row>
    <row r="55" spans="1:10" ht="15" x14ac:dyDescent="0.2">
      <c r="A55" s="8"/>
      <c r="B55" s="8"/>
      <c r="C55" s="8"/>
      <c r="D55" s="1"/>
      <c r="E55" s="20"/>
      <c r="F55" s="35"/>
      <c r="G55" s="25"/>
      <c r="H55" s="9"/>
      <c r="I55" s="9"/>
      <c r="J55" s="9"/>
    </row>
    <row r="56" spans="1:10" ht="30" customHeight="1" x14ac:dyDescent="0.2">
      <c r="A56" s="8"/>
      <c r="B56" s="8"/>
      <c r="C56" s="8"/>
      <c r="D56" s="1"/>
      <c r="E56" s="20"/>
      <c r="F56" s="35"/>
      <c r="G56" s="25"/>
      <c r="H56" s="9"/>
      <c r="I56" s="9"/>
      <c r="J56" s="9"/>
    </row>
    <row r="57" spans="1:10" ht="30" customHeight="1" x14ac:dyDescent="0.2">
      <c r="A57" s="8"/>
      <c r="B57" s="8"/>
      <c r="C57" s="8"/>
      <c r="D57" s="1"/>
      <c r="E57" s="20"/>
      <c r="F57" s="35"/>
      <c r="G57" s="25"/>
      <c r="H57" s="9"/>
      <c r="I57" s="9"/>
      <c r="J57" s="9"/>
    </row>
    <row r="58" spans="1:10" ht="30" customHeight="1" x14ac:dyDescent="0.2">
      <c r="A58" s="8"/>
      <c r="B58" s="8"/>
      <c r="C58" s="8"/>
      <c r="D58" s="1"/>
      <c r="E58" s="20"/>
      <c r="F58" s="35"/>
      <c r="G58" s="25"/>
      <c r="H58" s="9"/>
      <c r="I58" s="9"/>
      <c r="J58" s="9"/>
    </row>
    <row r="59" spans="1:10" ht="30" customHeight="1" x14ac:dyDescent="0.2">
      <c r="A59" s="8"/>
      <c r="B59" s="8"/>
      <c r="C59" s="8"/>
      <c r="D59" s="1"/>
      <c r="E59" s="20"/>
      <c r="F59" s="35"/>
      <c r="G59" s="25"/>
      <c r="H59" s="9"/>
      <c r="I59" s="9"/>
      <c r="J59" s="9"/>
    </row>
    <row r="60" spans="1:10" ht="30" customHeight="1" x14ac:dyDescent="0.2">
      <c r="A60" s="8"/>
      <c r="B60" s="8"/>
      <c r="C60" s="8"/>
      <c r="D60" s="1"/>
      <c r="E60" s="20"/>
      <c r="F60" s="35"/>
      <c r="G60" s="25"/>
      <c r="H60" s="9"/>
      <c r="I60" s="9"/>
      <c r="J60" s="9"/>
    </row>
    <row r="61" spans="1:10" ht="30" customHeight="1" x14ac:dyDescent="0.2">
      <c r="A61" s="8"/>
      <c r="B61" s="8"/>
      <c r="C61" s="8"/>
      <c r="D61" s="1"/>
      <c r="E61" s="20"/>
      <c r="F61" s="35"/>
      <c r="G61" s="25"/>
      <c r="H61" s="9"/>
      <c r="I61" s="9"/>
      <c r="J61" s="9"/>
    </row>
    <row r="62" spans="1:10" ht="30" customHeight="1" x14ac:dyDescent="0.2">
      <c r="A62" s="8"/>
      <c r="B62" s="8"/>
      <c r="C62" s="8"/>
      <c r="D62" s="1"/>
      <c r="E62" s="20"/>
      <c r="F62" s="35"/>
      <c r="G62" s="25"/>
      <c r="H62" s="9"/>
      <c r="I62" s="9"/>
      <c r="J62" s="9"/>
    </row>
    <row r="63" spans="1:10" ht="30" customHeight="1" x14ac:dyDescent="0.2">
      <c r="A63" s="8"/>
      <c r="B63" s="8"/>
      <c r="C63" s="8"/>
      <c r="D63" s="1"/>
      <c r="E63" s="20"/>
      <c r="F63" s="35"/>
      <c r="G63" s="25"/>
      <c r="H63" s="9"/>
      <c r="I63" s="9"/>
      <c r="J63" s="9"/>
    </row>
    <row r="64" spans="1:10" ht="30" customHeight="1" x14ac:dyDescent="0.2">
      <c r="A64" s="8"/>
      <c r="B64" s="8"/>
      <c r="C64" s="8"/>
      <c r="D64" s="1"/>
      <c r="E64" s="20"/>
      <c r="F64" s="35"/>
      <c r="G64" s="25"/>
      <c r="H64" s="9"/>
      <c r="I64" s="9"/>
      <c r="J64" s="9"/>
    </row>
    <row r="65" spans="1:10" ht="30" customHeight="1" x14ac:dyDescent="0.2">
      <c r="A65" s="8"/>
      <c r="B65" s="8"/>
      <c r="C65" s="8"/>
      <c r="D65" s="1"/>
      <c r="E65" s="20"/>
      <c r="F65" s="35"/>
      <c r="G65" s="25"/>
      <c r="H65" s="9"/>
      <c r="I65" s="9"/>
      <c r="J65" s="9"/>
    </row>
    <row r="66" spans="1:10" ht="30" customHeight="1" x14ac:dyDescent="0.2">
      <c r="A66" s="8"/>
      <c r="B66" s="8"/>
      <c r="C66" s="8"/>
      <c r="D66" s="1"/>
      <c r="E66" s="20"/>
      <c r="F66" s="35"/>
      <c r="G66" s="25"/>
      <c r="H66" s="9"/>
      <c r="I66" s="9"/>
      <c r="J66" s="9"/>
    </row>
    <row r="67" spans="1:10" ht="30" customHeight="1" x14ac:dyDescent="0.2">
      <c r="A67" s="8"/>
      <c r="B67" s="8"/>
      <c r="C67" s="8"/>
      <c r="D67" s="1"/>
      <c r="E67" s="20"/>
      <c r="F67" s="35"/>
      <c r="G67" s="25"/>
      <c r="H67" s="9"/>
      <c r="I67" s="9"/>
      <c r="J67" s="9"/>
    </row>
    <row r="68" spans="1:10" ht="30" customHeight="1" x14ac:dyDescent="0.2">
      <c r="A68" s="8"/>
      <c r="B68" s="8"/>
      <c r="C68" s="8"/>
      <c r="D68" s="1"/>
      <c r="E68" s="20"/>
      <c r="F68" s="35"/>
      <c r="G68" s="25"/>
      <c r="H68" s="9"/>
      <c r="I68" s="9"/>
      <c r="J68" s="9"/>
    </row>
    <row r="69" spans="1:10" ht="30" customHeight="1" x14ac:dyDescent="0.2">
      <c r="A69" s="8"/>
      <c r="B69" s="8"/>
      <c r="C69" s="8"/>
      <c r="D69" s="1"/>
      <c r="E69" s="20"/>
      <c r="F69" s="35"/>
      <c r="G69" s="25"/>
      <c r="H69" s="9"/>
      <c r="I69" s="9"/>
      <c r="J69" s="9"/>
    </row>
    <row r="70" spans="1:10" ht="30" customHeight="1" x14ac:dyDescent="0.2">
      <c r="A70" s="8"/>
      <c r="B70" s="8"/>
      <c r="C70" s="8"/>
      <c r="D70" s="1"/>
      <c r="E70" s="20"/>
      <c r="F70" s="35"/>
      <c r="G70" s="25"/>
      <c r="H70" s="9"/>
      <c r="I70" s="9"/>
      <c r="J70" s="9"/>
    </row>
    <row r="71" spans="1:10" ht="30" customHeight="1" x14ac:dyDescent="0.2">
      <c r="A71" s="8"/>
      <c r="B71" s="8"/>
      <c r="C71" s="8"/>
      <c r="D71" s="1"/>
      <c r="E71" s="20"/>
      <c r="F71" s="35"/>
      <c r="G71" s="25"/>
      <c r="H71" s="9"/>
      <c r="I71" s="9"/>
      <c r="J71" s="9"/>
    </row>
    <row r="72" spans="1:10" ht="30" customHeight="1" x14ac:dyDescent="0.2">
      <c r="A72" s="8"/>
      <c r="B72" s="8"/>
      <c r="C72" s="8"/>
      <c r="D72" s="1"/>
      <c r="E72" s="20"/>
      <c r="F72" s="35"/>
      <c r="G72" s="25"/>
      <c r="H72" s="9"/>
      <c r="I72" s="9"/>
      <c r="J72" s="9"/>
    </row>
    <row r="73" spans="1:10" ht="30" customHeight="1" x14ac:dyDescent="0.2">
      <c r="A73" s="8"/>
      <c r="B73" s="8"/>
      <c r="C73" s="8"/>
      <c r="D73" s="1"/>
      <c r="E73" s="20"/>
      <c r="F73" s="35"/>
      <c r="G73" s="25"/>
      <c r="H73" s="9"/>
      <c r="I73" s="9"/>
      <c r="J73" s="9"/>
    </row>
    <row r="74" spans="1:10" ht="30" customHeight="1" x14ac:dyDescent="0.2">
      <c r="A74" s="8"/>
      <c r="B74" s="8"/>
      <c r="C74" s="8"/>
      <c r="D74" s="1"/>
      <c r="E74" s="20"/>
      <c r="F74" s="35"/>
      <c r="G74" s="25"/>
      <c r="H74" s="9"/>
      <c r="I74" s="9"/>
      <c r="J74" s="9"/>
    </row>
    <row r="75" spans="1:10" ht="30" customHeight="1" x14ac:dyDescent="0.2">
      <c r="A75" s="8"/>
      <c r="B75" s="8"/>
      <c r="C75" s="8"/>
      <c r="D75" s="1"/>
      <c r="E75" s="20"/>
      <c r="F75" s="35"/>
      <c r="G75" s="25"/>
      <c r="H75" s="9"/>
      <c r="I75" s="9"/>
      <c r="J75" s="9"/>
    </row>
    <row r="76" spans="1:10" ht="30" customHeight="1" x14ac:dyDescent="0.2">
      <c r="A76" s="8"/>
      <c r="B76" s="8"/>
      <c r="C76" s="8"/>
      <c r="D76" s="1"/>
      <c r="E76" s="20"/>
      <c r="F76" s="35"/>
      <c r="G76" s="25"/>
      <c r="H76" s="9"/>
      <c r="I76" s="9"/>
      <c r="J76" s="9"/>
    </row>
    <row r="77" spans="1:10" ht="30" customHeight="1" x14ac:dyDescent="0.2">
      <c r="A77" s="8"/>
      <c r="B77" s="8"/>
      <c r="C77" s="8"/>
      <c r="D77" s="1"/>
      <c r="E77" s="20"/>
      <c r="F77" s="35"/>
      <c r="G77" s="25"/>
      <c r="H77" s="9"/>
      <c r="I77" s="9"/>
      <c r="J77" s="9"/>
    </row>
    <row r="78" spans="1:10" ht="30" customHeight="1" x14ac:dyDescent="0.2">
      <c r="A78" s="8"/>
      <c r="B78" s="8"/>
      <c r="C78" s="8"/>
      <c r="D78" s="1"/>
      <c r="E78" s="20"/>
      <c r="F78" s="35"/>
      <c r="G78" s="25"/>
      <c r="H78" s="9"/>
      <c r="I78" s="9"/>
      <c r="J78" s="9"/>
    </row>
    <row r="79" spans="1:10" ht="30" customHeight="1" x14ac:dyDescent="0.2">
      <c r="A79" s="8"/>
      <c r="B79" s="8"/>
      <c r="C79" s="8"/>
      <c r="D79" s="1"/>
      <c r="E79" s="20"/>
      <c r="F79" s="35"/>
      <c r="G79" s="25"/>
      <c r="H79" s="9"/>
      <c r="I79" s="9"/>
      <c r="J79" s="9"/>
    </row>
    <row r="80" spans="1:10" ht="30" customHeight="1" x14ac:dyDescent="0.2">
      <c r="A80" s="8"/>
      <c r="B80" s="8"/>
      <c r="C80" s="8"/>
      <c r="D80" s="1"/>
      <c r="E80" s="20"/>
      <c r="F80" s="35"/>
      <c r="G80" s="25"/>
      <c r="H80" s="9"/>
      <c r="I80" s="9"/>
      <c r="J80" s="9"/>
    </row>
    <row r="81" spans="1:10" ht="30" customHeight="1" x14ac:dyDescent="0.2">
      <c r="A81" s="8"/>
      <c r="B81" s="8"/>
      <c r="C81" s="8"/>
      <c r="D81" s="1"/>
      <c r="E81" s="20"/>
      <c r="F81" s="35"/>
      <c r="G81" s="25"/>
      <c r="H81" s="9"/>
      <c r="I81" s="9"/>
      <c r="J81" s="9"/>
    </row>
    <row r="82" spans="1:10" ht="30" customHeight="1" x14ac:dyDescent="0.2">
      <c r="A82" s="8"/>
      <c r="B82" s="8"/>
      <c r="C82" s="8"/>
      <c r="D82" s="1"/>
      <c r="E82" s="20"/>
      <c r="F82" s="35"/>
      <c r="G82" s="25"/>
      <c r="H82" s="9"/>
      <c r="I82" s="9"/>
      <c r="J82" s="9"/>
    </row>
    <row r="83" spans="1:10" ht="30" customHeight="1" x14ac:dyDescent="0.2">
      <c r="A83" s="8"/>
      <c r="B83" s="8"/>
      <c r="C83" s="8"/>
      <c r="D83" s="1"/>
      <c r="E83" s="20"/>
      <c r="F83" s="35"/>
      <c r="G83" s="25"/>
      <c r="H83" s="9"/>
      <c r="I83" s="9"/>
      <c r="J83" s="9"/>
    </row>
    <row r="84" spans="1:10" ht="30" customHeight="1" x14ac:dyDescent="0.2">
      <c r="A84" s="8"/>
      <c r="B84" s="8"/>
      <c r="C84" s="8"/>
      <c r="D84" s="1"/>
      <c r="E84" s="20"/>
      <c r="F84" s="35"/>
      <c r="G84" s="25"/>
      <c r="H84" s="9"/>
      <c r="I84" s="9"/>
      <c r="J84" s="9"/>
    </row>
    <row r="85" spans="1:10" ht="30" customHeight="1" x14ac:dyDescent="0.2">
      <c r="A85" s="8"/>
      <c r="B85" s="8"/>
      <c r="C85" s="8"/>
      <c r="D85" s="1"/>
      <c r="E85" s="20"/>
      <c r="F85" s="35"/>
      <c r="G85" s="25"/>
      <c r="H85" s="9"/>
      <c r="I85" s="9"/>
      <c r="J85" s="9"/>
    </row>
    <row r="86" spans="1:10" ht="30" customHeight="1" x14ac:dyDescent="0.2">
      <c r="A86" s="8"/>
      <c r="B86" s="8"/>
      <c r="C86" s="8"/>
      <c r="D86" s="1"/>
      <c r="E86" s="20"/>
      <c r="F86" s="35"/>
      <c r="G86" s="25"/>
      <c r="H86" s="9"/>
      <c r="I86" s="9"/>
      <c r="J86" s="9"/>
    </row>
    <row r="87" spans="1:10" ht="30" customHeight="1" x14ac:dyDescent="0.2">
      <c r="A87" s="8"/>
      <c r="B87" s="8"/>
      <c r="C87" s="8"/>
      <c r="D87" s="1"/>
      <c r="E87" s="20"/>
      <c r="F87" s="35"/>
      <c r="G87" s="25"/>
      <c r="H87" s="9"/>
      <c r="I87" s="9"/>
      <c r="J87" s="9"/>
    </row>
    <row r="88" spans="1:10" ht="30" customHeight="1" x14ac:dyDescent="0.2">
      <c r="A88" s="8"/>
      <c r="B88" s="8"/>
      <c r="C88" s="8"/>
      <c r="D88" s="1"/>
      <c r="E88" s="20"/>
      <c r="F88" s="35"/>
      <c r="G88" s="25"/>
      <c r="H88" s="9"/>
      <c r="I88" s="9"/>
      <c r="J88" s="9"/>
    </row>
    <row r="89" spans="1:10" ht="30" customHeight="1" x14ac:dyDescent="0.2">
      <c r="A89" s="8"/>
      <c r="B89" s="8"/>
      <c r="C89" s="8"/>
      <c r="D89" s="1"/>
      <c r="E89" s="20"/>
      <c r="F89" s="35"/>
      <c r="G89" s="25"/>
      <c r="H89" s="9"/>
      <c r="I89" s="9"/>
      <c r="J89" s="9"/>
    </row>
    <row r="90" spans="1:10" ht="30" customHeight="1" x14ac:dyDescent="0.2">
      <c r="A90" s="8"/>
      <c r="B90" s="8"/>
      <c r="C90" s="8"/>
      <c r="D90" s="1"/>
      <c r="E90" s="20"/>
      <c r="F90" s="35"/>
      <c r="G90" s="25"/>
      <c r="H90" s="9"/>
      <c r="I90" s="9"/>
      <c r="J90" s="9"/>
    </row>
    <row r="91" spans="1:10" ht="30" customHeight="1" x14ac:dyDescent="0.2">
      <c r="A91" s="8"/>
      <c r="B91" s="8"/>
      <c r="C91" s="8"/>
      <c r="D91" s="1"/>
      <c r="E91" s="20"/>
      <c r="F91" s="35"/>
      <c r="G91" s="25"/>
      <c r="H91" s="9"/>
      <c r="I91" s="9"/>
      <c r="J91" s="9"/>
    </row>
    <row r="92" spans="1:10" ht="30" customHeight="1" x14ac:dyDescent="0.2">
      <c r="A92" s="8"/>
      <c r="B92" s="8"/>
      <c r="C92" s="8"/>
      <c r="D92" s="1"/>
      <c r="E92" s="20"/>
      <c r="F92" s="35"/>
      <c r="G92" s="25"/>
      <c r="H92" s="9"/>
      <c r="I92" s="9"/>
      <c r="J92" s="9"/>
    </row>
    <row r="93" spans="1:10" ht="30" customHeight="1" x14ac:dyDescent="0.2">
      <c r="A93" s="8"/>
      <c r="B93" s="8"/>
      <c r="C93" s="8"/>
      <c r="D93" s="1"/>
      <c r="E93" s="20"/>
      <c r="F93" s="35"/>
      <c r="G93" s="25"/>
      <c r="H93" s="9"/>
      <c r="I93" s="9"/>
      <c r="J93" s="9"/>
    </row>
    <row r="94" spans="1:10" ht="30" customHeight="1" x14ac:dyDescent="0.2">
      <c r="A94" s="8"/>
      <c r="B94" s="8"/>
      <c r="C94" s="8"/>
      <c r="D94" s="1"/>
      <c r="E94" s="20"/>
      <c r="F94" s="35"/>
      <c r="G94" s="25"/>
      <c r="H94" s="9"/>
      <c r="I94" s="9"/>
      <c r="J94" s="9"/>
    </row>
    <row r="95" spans="1:10" ht="30" customHeight="1" x14ac:dyDescent="0.2">
      <c r="A95" s="8"/>
      <c r="B95" s="8"/>
      <c r="C95" s="8"/>
      <c r="D95" s="1"/>
      <c r="E95" s="20"/>
      <c r="F95" s="35"/>
      <c r="G95" s="25"/>
      <c r="H95" s="9"/>
      <c r="I95" s="9"/>
      <c r="J95" s="9"/>
    </row>
    <row r="96" spans="1:10" ht="30" customHeight="1" x14ac:dyDescent="0.2">
      <c r="A96" s="8"/>
      <c r="B96" s="8"/>
      <c r="C96" s="8"/>
      <c r="D96" s="1"/>
      <c r="E96" s="20"/>
      <c r="F96" s="35"/>
      <c r="G96" s="25"/>
      <c r="H96" s="9"/>
      <c r="I96" s="9"/>
      <c r="J96" s="9"/>
    </row>
    <row r="97" spans="1:10" ht="30" customHeight="1" x14ac:dyDescent="0.2">
      <c r="A97" s="8"/>
      <c r="B97" s="8"/>
      <c r="C97" s="8"/>
      <c r="D97" s="1"/>
      <c r="E97" s="20"/>
      <c r="F97" s="35"/>
      <c r="G97" s="25"/>
      <c r="H97" s="9"/>
      <c r="I97" s="9"/>
      <c r="J97" s="9"/>
    </row>
    <row r="98" spans="1:10" ht="30" customHeight="1" x14ac:dyDescent="0.2">
      <c r="A98" s="8"/>
      <c r="B98" s="8"/>
      <c r="C98" s="8"/>
      <c r="D98" s="1"/>
      <c r="E98" s="20"/>
      <c r="F98" s="35"/>
      <c r="G98" s="25"/>
      <c r="H98" s="9"/>
      <c r="I98" s="9"/>
      <c r="J98" s="9"/>
    </row>
    <row r="99" spans="1:10" ht="30" customHeight="1" x14ac:dyDescent="0.2">
      <c r="A99" s="8"/>
      <c r="B99" s="8"/>
      <c r="C99" s="8"/>
      <c r="D99" s="1"/>
      <c r="E99" s="20"/>
      <c r="F99" s="35"/>
      <c r="G99" s="25"/>
      <c r="H99" s="9"/>
      <c r="I99" s="9"/>
      <c r="J99" s="9"/>
    </row>
    <row r="100" spans="1:10" ht="30" customHeight="1" x14ac:dyDescent="0.2">
      <c r="A100" s="8"/>
      <c r="B100" s="8"/>
      <c r="C100" s="8"/>
      <c r="D100" s="1"/>
      <c r="E100" s="20"/>
      <c r="F100" s="35"/>
      <c r="G100" s="25"/>
      <c r="H100" s="9"/>
      <c r="I100" s="9"/>
      <c r="J100" s="9"/>
    </row>
    <row r="101" spans="1:10" ht="30" customHeight="1" x14ac:dyDescent="0.2">
      <c r="A101" s="8"/>
      <c r="B101" s="8"/>
      <c r="C101" s="8"/>
      <c r="D101" s="1"/>
      <c r="E101" s="20"/>
      <c r="F101" s="35"/>
      <c r="G101" s="25"/>
      <c r="H101" s="9">
        <f ca="1">G101-TODAY()</f>
        <v>-45205</v>
      </c>
      <c r="I101" s="9"/>
      <c r="J101" s="9"/>
    </row>
    <row r="102" spans="1:10" ht="30" customHeight="1" x14ac:dyDescent="0.2">
      <c r="A102" s="8"/>
      <c r="B102" s="8"/>
      <c r="C102" s="8"/>
      <c r="D102" s="1"/>
      <c r="E102" s="20"/>
      <c r="F102" s="35"/>
      <c r="G102" s="25"/>
      <c r="H102" s="9">
        <f ca="1">G102-TODAY()</f>
        <v>-45205</v>
      </c>
      <c r="I102" s="9"/>
      <c r="J102" s="9"/>
    </row>
  </sheetData>
  <autoFilter ref="L3:S11" xr:uid="{53649FE5-CBC0-0849-9342-04CC956C4FD8}">
    <filterColumn colId="4">
      <filters>
        <filter val="EM ATRASO"/>
      </filters>
    </filterColumn>
    <filterColumn colId="5" showButton="0"/>
    <filterColumn colId="6" showButton="0"/>
  </autoFilter>
  <mergeCells count="18">
    <mergeCell ref="A1:J2"/>
    <mergeCell ref="L1:S2"/>
    <mergeCell ref="Q3:S3"/>
    <mergeCell ref="L4:L11"/>
    <mergeCell ref="Q4:S4"/>
    <mergeCell ref="Q5:S5"/>
    <mergeCell ref="Q6:S6"/>
    <mergeCell ref="Q7:S7"/>
    <mergeCell ref="Q8:S8"/>
    <mergeCell ref="Q9:S9"/>
    <mergeCell ref="Q16:S16"/>
    <mergeCell ref="Q17:S17"/>
    <mergeCell ref="Q10:S10"/>
    <mergeCell ref="Q11:S11"/>
    <mergeCell ref="Q12:S12"/>
    <mergeCell ref="Q13:S13"/>
    <mergeCell ref="Q14:S14"/>
    <mergeCell ref="Q15:S15"/>
  </mergeCells>
  <conditionalFormatting sqref="A4:A102 L12:L17">
    <cfRule type="containsText" dxfId="7" priority="5" operator="containsText" text="ENVIADO">
      <formula>NOT(ISERROR(SEARCH("ENVIADO",A4)))</formula>
    </cfRule>
  </conditionalFormatting>
  <conditionalFormatting sqref="I4:I102">
    <cfRule type="containsText" dxfId="6" priority="6" operator="containsText" text="A RECEBER">
      <formula>NOT(ISERROR(SEARCH("A RECEBER",I4)))</formula>
    </cfRule>
    <cfRule type="containsText" dxfId="5" priority="7" operator="containsText" text="EM ATRASO">
      <formula>NOT(ISERROR(SEARCH("EM ATRASO",I4)))</formula>
    </cfRule>
    <cfRule type="containsText" dxfId="4" priority="8" operator="containsText" text="PAGO">
      <formula>NOT(ISERROR(SEARCH("PAGO",I4)))</formula>
    </cfRule>
  </conditionalFormatting>
  <conditionalFormatting sqref="L4">
    <cfRule type="containsText" dxfId="3" priority="4" operator="containsText" text="ENVIADO">
      <formula>NOT(ISERROR(SEARCH("ENVIADO",L4)))</formula>
    </cfRule>
  </conditionalFormatting>
  <conditionalFormatting sqref="P4:P11 P13 P16">
    <cfRule type="containsText" dxfId="2" priority="1" operator="containsText" text="PAGO">
      <formula>NOT(ISERROR(SEARCH("PAGO",P4)))</formula>
    </cfRule>
    <cfRule type="containsText" dxfId="1" priority="2" operator="containsText" text="EM ATRASO">
      <formula>NOT(ISERROR(SEARCH("EM ATRASO",P4)))</formula>
    </cfRule>
    <cfRule type="containsText" dxfId="0" priority="3" operator="containsText" text="A RECEBER">
      <formula>NOT(ISERROR(SEARCH("A RECEBER",P4)))</formula>
    </cfRule>
  </conditionalFormatting>
  <dataValidations count="7">
    <dataValidation allowBlank="1" showInputMessage="1" showErrorMessage="1" errorTitle="Dados Inválidos" error="Selecione uma entrada da lista. Para adicionar ou alterar itens, use a tabela Cômodo/Área na planilha Consulta de Cômodos." sqref="B4:C102" xr:uid="{FFFD9FFA-EA11-D147-92D9-23E8239091E4}"/>
    <dataValidation type="list" errorStyle="warning" allowBlank="1" showInputMessage="1" showErrorMessage="1" error="Selecione o cômodo/área da lista. Insira a nova planilha de cômodo/área na Consulta de Cômodos. Selecione CANCELAR, pressione ALT+SETA PARA BAIXO para ver opções, depois para SETA PARA BAIXO e ENTER para fazer a seleção" sqref="D39 D4:D37" xr:uid="{4217FA3F-4747-6D4E-9E53-3609074A9A67}">
      <formula1>RoomList</formula1>
    </dataValidation>
    <dataValidation allowBlank="1" showInputMessage="1" showErrorMessage="1" prompt="Insira o número do item nesta coluna sob este título. Use filtros de título para encontrar entradas específicas" sqref="A3:C3" xr:uid="{04594169-F63B-924B-86BC-16074471E52E}"/>
    <dataValidation allowBlank="1" showInputMessage="1" showErrorMessage="1" prompt="Digite o item/descrição nesta coluna sob este título" sqref="E3:F3" xr:uid="{5D2A5358-551F-5146-8B70-123296F69363}"/>
    <dataValidation allowBlank="1" showInputMessage="1" showErrorMessage="1" prompt="Selecione o cômodo/área nesta coluna sob este título. Insira o novo cômodo/área na Consulta de Cômodos. Pressione ALT+SETA PARA BAIXO para ver opções, depois SETA PARA BAIXO e ENTER para fazer a seleção" sqref="D3" xr:uid="{082B18B0-78DE-634A-A80A-142428B4DDE8}"/>
    <dataValidation allowBlank="1" showInputMessage="1" showErrorMessage="1" prompt="Insira a data da compra nesta coluna sob este título" sqref="G3 J3" xr:uid="{346B2CB6-041F-2C4B-BE44-A7EA9ED2711F}"/>
    <dataValidation allowBlank="1" showInputMessage="1" showErrorMessage="1" prompt="Selecione &quot;Sim&quot;, se houver uma foto do item, ou &quot;Não&quot; na coluna sob este cabeçalho. Pressione Alt+Seta para baixo para ver as opções e, em seguida, Seta para baixo e Enter para fazer a seleção" sqref="H3:I3" xr:uid="{7F6859BE-FE0E-C141-9E00-CA3FA009DB44}"/>
  </dataValidation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Dados Inválidos" error="Selecione uma entrada da lista. Para adicionar ou alterar itens, use a tabela Cômodo/Área na planilha Consulta de Cômodos." xr:uid="{06921828-1FFC-EA4E-91DF-7CF4ED4235F1}">
          <x14:formula1>
            <xm:f>BASES!$I$4:$I$7</xm:f>
          </x14:formula1>
          <xm:sqref>A4:A102</xm:sqref>
        </x14:dataValidation>
        <x14:dataValidation type="list" allowBlank="1" showInputMessage="1" showErrorMessage="1" xr:uid="{101F4FE5-3C5D-2E49-94C4-B63C0B2023E3}">
          <x14:formula1>
            <xm:f>BASES!$H$4:$H$6</xm:f>
          </x14:formula1>
          <xm:sqref>P16 P4:P11 P13 I4:I47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5AE9-8675-8C4B-94E4-0B6D6106BF95}">
  <dimension ref="B1:F51"/>
  <sheetViews>
    <sheetView showGridLines="0" tabSelected="1" workbookViewId="0">
      <selection activeCell="B3" sqref="B3:F3"/>
    </sheetView>
  </sheetViews>
  <sheetFormatPr baseColWidth="10" defaultRowHeight="16" x14ac:dyDescent="0.2"/>
  <cols>
    <col min="1" max="1" width="10.83203125" style="38"/>
    <col min="2" max="2" width="11.83203125" style="38" bestFit="1" customWidth="1"/>
    <col min="3" max="3" width="19.5" style="38" customWidth="1"/>
    <col min="4" max="4" width="18.5" style="167" customWidth="1"/>
    <col min="5" max="5" width="17" style="38" customWidth="1"/>
    <col min="6" max="6" width="47" style="38" customWidth="1"/>
    <col min="7" max="16384" width="10.83203125" style="38"/>
  </cols>
  <sheetData>
    <row r="1" spans="2:6" ht="15" x14ac:dyDescent="0.2">
      <c r="B1" s="181" t="s">
        <v>213</v>
      </c>
      <c r="C1" s="181"/>
      <c r="D1" s="181"/>
      <c r="E1" s="181"/>
      <c r="F1" s="181"/>
    </row>
    <row r="2" spans="2:6" ht="89" customHeight="1" x14ac:dyDescent="0.2">
      <c r="B2" s="181"/>
      <c r="C2" s="181"/>
      <c r="D2" s="181"/>
      <c r="E2" s="181"/>
      <c r="F2" s="181"/>
    </row>
    <row r="3" spans="2:6" ht="20" customHeight="1" x14ac:dyDescent="0.2">
      <c r="B3" s="201">
        <v>45205</v>
      </c>
      <c r="C3" s="182"/>
      <c r="D3" s="182"/>
      <c r="E3" s="182"/>
      <c r="F3" s="182"/>
    </row>
    <row r="5" spans="2:6" ht="44" x14ac:dyDescent="0.2">
      <c r="B5" s="145" t="s">
        <v>165</v>
      </c>
      <c r="C5" s="145" t="s">
        <v>166</v>
      </c>
      <c r="D5" s="146" t="s">
        <v>8</v>
      </c>
      <c r="E5" s="147" t="s">
        <v>141</v>
      </c>
      <c r="F5" s="147" t="s">
        <v>83</v>
      </c>
    </row>
    <row r="6" spans="2:6" s="153" customFormat="1" ht="19" x14ac:dyDescent="0.2">
      <c r="B6" s="148" t="s">
        <v>105</v>
      </c>
      <c r="C6" s="149" t="s">
        <v>192</v>
      </c>
      <c r="D6" s="150" t="s">
        <v>145</v>
      </c>
      <c r="E6" s="151">
        <v>2827.98</v>
      </c>
      <c r="F6" s="152" t="s">
        <v>236</v>
      </c>
    </row>
    <row r="7" spans="2:6" s="153" customFormat="1" ht="19" x14ac:dyDescent="0.2">
      <c r="B7" s="148" t="s">
        <v>106</v>
      </c>
      <c r="C7" s="149" t="s">
        <v>220</v>
      </c>
      <c r="D7" s="150" t="s">
        <v>145</v>
      </c>
      <c r="E7" s="151">
        <v>6541.39</v>
      </c>
      <c r="F7" s="152" t="s">
        <v>236</v>
      </c>
    </row>
    <row r="8" spans="2:6" s="153" customFormat="1" ht="19" x14ac:dyDescent="0.2">
      <c r="B8" s="148" t="s">
        <v>106</v>
      </c>
      <c r="C8" s="149" t="s">
        <v>232</v>
      </c>
      <c r="D8" s="150" t="s">
        <v>145</v>
      </c>
      <c r="E8" s="151">
        <v>3113.29</v>
      </c>
      <c r="F8" s="152" t="s">
        <v>236</v>
      </c>
    </row>
    <row r="9" spans="2:6" s="153" customFormat="1" ht="19" x14ac:dyDescent="0.2">
      <c r="B9" s="148" t="s">
        <v>106</v>
      </c>
      <c r="C9" s="149" t="s">
        <v>233</v>
      </c>
      <c r="D9" s="150" t="s">
        <v>145</v>
      </c>
      <c r="E9" s="151">
        <v>434.32</v>
      </c>
      <c r="F9" s="152" t="s">
        <v>236</v>
      </c>
    </row>
    <row r="10" spans="2:6" s="153" customFormat="1" ht="19" x14ac:dyDescent="0.2">
      <c r="B10" s="154"/>
      <c r="C10" s="155"/>
      <c r="D10" s="156" t="s">
        <v>124</v>
      </c>
      <c r="E10" s="157">
        <f>SUM(E6:E9)</f>
        <v>12916.98</v>
      </c>
    </row>
    <row r="11" spans="2:6" s="153" customFormat="1" ht="19" x14ac:dyDescent="0.2">
      <c r="B11" s="154"/>
      <c r="C11" s="155"/>
      <c r="D11" s="158"/>
      <c r="E11" s="159"/>
    </row>
    <row r="12" spans="2:6" s="153" customFormat="1" ht="19" x14ac:dyDescent="0.2">
      <c r="B12" s="160" t="s">
        <v>105</v>
      </c>
      <c r="C12" s="161" t="s">
        <v>208</v>
      </c>
      <c r="D12" s="150" t="s">
        <v>147</v>
      </c>
      <c r="E12" s="151">
        <v>149.63999999999999</v>
      </c>
      <c r="F12" s="152" t="s">
        <v>210</v>
      </c>
    </row>
    <row r="13" spans="2:6" s="153" customFormat="1" ht="19" x14ac:dyDescent="0.2">
      <c r="B13" s="148" t="s">
        <v>105</v>
      </c>
      <c r="C13" s="149" t="s">
        <v>192</v>
      </c>
      <c r="D13" s="150" t="s">
        <v>147</v>
      </c>
      <c r="E13" s="151">
        <v>447.32</v>
      </c>
      <c r="F13" s="152" t="s">
        <v>210</v>
      </c>
    </row>
    <row r="14" spans="2:6" s="153" customFormat="1" ht="19" x14ac:dyDescent="0.2">
      <c r="B14" s="148" t="s">
        <v>105</v>
      </c>
      <c r="C14" s="163" t="s">
        <v>186</v>
      </c>
      <c r="D14" s="150" t="s">
        <v>147</v>
      </c>
      <c r="E14" s="164">
        <v>1104.99</v>
      </c>
      <c r="F14" s="152" t="s">
        <v>210</v>
      </c>
    </row>
    <row r="15" spans="2:6" s="153" customFormat="1" ht="19" x14ac:dyDescent="0.2">
      <c r="B15" s="148" t="s">
        <v>106</v>
      </c>
      <c r="C15" s="163" t="s">
        <v>232</v>
      </c>
      <c r="D15" s="150" t="s">
        <v>147</v>
      </c>
      <c r="E15" s="164">
        <v>3822.43</v>
      </c>
      <c r="F15" s="152" t="s">
        <v>210</v>
      </c>
    </row>
    <row r="16" spans="2:6" s="153" customFormat="1" ht="19" x14ac:dyDescent="0.2">
      <c r="B16" s="148" t="s">
        <v>106</v>
      </c>
      <c r="C16" s="163" t="s">
        <v>233</v>
      </c>
      <c r="D16" s="150" t="s">
        <v>147</v>
      </c>
      <c r="E16" s="164">
        <v>706.86</v>
      </c>
      <c r="F16" s="152" t="s">
        <v>210</v>
      </c>
    </row>
    <row r="17" spans="2:6" s="153" customFormat="1" ht="19" x14ac:dyDescent="0.2">
      <c r="B17" s="154"/>
      <c r="C17" s="155"/>
      <c r="D17" s="156" t="s">
        <v>124</v>
      </c>
      <c r="E17" s="157">
        <f>SUM(E12:E16)</f>
        <v>6231.24</v>
      </c>
    </row>
    <row r="18" spans="2:6" s="153" customFormat="1" ht="19" x14ac:dyDescent="0.2">
      <c r="B18" s="154"/>
      <c r="C18" s="155"/>
      <c r="D18" s="158"/>
      <c r="E18" s="159"/>
    </row>
    <row r="19" spans="2:6" s="153" customFormat="1" ht="19" x14ac:dyDescent="0.2">
      <c r="B19" s="148" t="s">
        <v>105</v>
      </c>
      <c r="C19" s="149" t="s">
        <v>192</v>
      </c>
      <c r="D19" s="150" t="s">
        <v>197</v>
      </c>
      <c r="E19" s="151">
        <v>18</v>
      </c>
      <c r="F19" s="162" t="s">
        <v>209</v>
      </c>
    </row>
    <row r="20" spans="2:6" s="153" customFormat="1" ht="19" x14ac:dyDescent="0.2">
      <c r="B20" s="154"/>
      <c r="C20" s="155"/>
      <c r="D20" s="156" t="s">
        <v>124</v>
      </c>
      <c r="E20" s="157">
        <f>SUM(E19)</f>
        <v>18</v>
      </c>
    </row>
    <row r="21" spans="2:6" s="153" customFormat="1" ht="19" x14ac:dyDescent="0.2">
      <c r="B21" s="154"/>
      <c r="C21" s="155"/>
      <c r="D21" s="158"/>
      <c r="E21" s="159"/>
    </row>
    <row r="22" spans="2:6" s="153" customFormat="1" ht="19" x14ac:dyDescent="0.2">
      <c r="B22" s="148" t="s">
        <v>105</v>
      </c>
      <c r="C22" s="149" t="s">
        <v>233</v>
      </c>
      <c r="D22" s="150" t="s">
        <v>196</v>
      </c>
      <c r="E22" s="151">
        <v>43.5</v>
      </c>
      <c r="F22" s="162" t="s">
        <v>209</v>
      </c>
    </row>
    <row r="23" spans="2:6" s="153" customFormat="1" ht="19" x14ac:dyDescent="0.2">
      <c r="B23" s="154"/>
      <c r="C23" s="155"/>
      <c r="D23" s="156" t="s">
        <v>124</v>
      </c>
      <c r="E23" s="157">
        <f>SUM(E22:E22)</f>
        <v>43.5</v>
      </c>
    </row>
    <row r="24" spans="2:6" s="153" customFormat="1" ht="19" x14ac:dyDescent="0.2">
      <c r="B24" s="154"/>
      <c r="C24" s="155"/>
      <c r="D24" s="158"/>
      <c r="E24" s="159"/>
    </row>
    <row r="25" spans="2:6" s="153" customFormat="1" ht="19" x14ac:dyDescent="0.2">
      <c r="B25" s="148" t="s">
        <v>105</v>
      </c>
      <c r="C25" s="149" t="s">
        <v>208</v>
      </c>
      <c r="D25" s="150" t="s">
        <v>146</v>
      </c>
      <c r="E25" s="151">
        <v>331.26</v>
      </c>
      <c r="F25" s="162" t="s">
        <v>209</v>
      </c>
    </row>
    <row r="26" spans="2:6" s="153" customFormat="1" ht="19" x14ac:dyDescent="0.2">
      <c r="B26" s="148" t="s">
        <v>106</v>
      </c>
      <c r="C26" s="149" t="s">
        <v>232</v>
      </c>
      <c r="D26" s="150" t="s">
        <v>146</v>
      </c>
      <c r="E26" s="151">
        <v>954.08</v>
      </c>
      <c r="F26" s="162" t="s">
        <v>209</v>
      </c>
    </row>
    <row r="27" spans="2:6" s="153" customFormat="1" ht="19" x14ac:dyDescent="0.2">
      <c r="B27" s="148" t="s">
        <v>106</v>
      </c>
      <c r="C27" s="149" t="s">
        <v>233</v>
      </c>
      <c r="D27" s="150" t="s">
        <v>146</v>
      </c>
      <c r="E27" s="151">
        <v>1410.47</v>
      </c>
      <c r="F27" s="162" t="s">
        <v>209</v>
      </c>
    </row>
    <row r="28" spans="2:6" s="153" customFormat="1" ht="19" x14ac:dyDescent="0.2">
      <c r="D28" s="156" t="s">
        <v>124</v>
      </c>
      <c r="E28" s="157">
        <f>SUM(E25:E27)</f>
        <v>2695.8100000000004</v>
      </c>
    </row>
    <row r="29" spans="2:6" s="153" customFormat="1" x14ac:dyDescent="0.2">
      <c r="D29" s="165"/>
    </row>
    <row r="30" spans="2:6" s="153" customFormat="1" ht="19" x14ac:dyDescent="0.2">
      <c r="B30" s="148" t="s">
        <v>211</v>
      </c>
      <c r="C30" s="149" t="s">
        <v>183</v>
      </c>
      <c r="D30" s="150" t="s">
        <v>212</v>
      </c>
      <c r="E30" s="151">
        <v>178.5</v>
      </c>
      <c r="F30" s="162" t="s">
        <v>209</v>
      </c>
    </row>
    <row r="31" spans="2:6" s="153" customFormat="1" ht="19" x14ac:dyDescent="0.2">
      <c r="B31" s="148" t="s">
        <v>106</v>
      </c>
      <c r="C31" s="149" t="s">
        <v>220</v>
      </c>
      <c r="D31" s="150" t="s">
        <v>212</v>
      </c>
      <c r="E31" s="151">
        <v>34.03</v>
      </c>
      <c r="F31" s="162" t="s">
        <v>209</v>
      </c>
    </row>
    <row r="32" spans="2:6" s="153" customFormat="1" ht="19" x14ac:dyDescent="0.2">
      <c r="B32" s="148" t="s">
        <v>106</v>
      </c>
      <c r="C32" s="149" t="s">
        <v>233</v>
      </c>
      <c r="D32" s="150" t="s">
        <v>212</v>
      </c>
      <c r="E32" s="151">
        <v>28.9</v>
      </c>
      <c r="F32" s="162" t="s">
        <v>209</v>
      </c>
    </row>
    <row r="33" spans="2:6" ht="19" x14ac:dyDescent="0.2">
      <c r="D33" s="156" t="s">
        <v>124</v>
      </c>
      <c r="E33" s="157">
        <f>SUM(E30:E32)</f>
        <v>241.43</v>
      </c>
    </row>
    <row r="35" spans="2:6" ht="19" x14ac:dyDescent="0.2">
      <c r="B35" s="148" t="s">
        <v>105</v>
      </c>
      <c r="C35" s="163" t="s">
        <v>184</v>
      </c>
      <c r="D35" s="166" t="s">
        <v>185</v>
      </c>
      <c r="E35" s="164">
        <v>141.54</v>
      </c>
      <c r="F35" s="162" t="s">
        <v>209</v>
      </c>
    </row>
    <row r="36" spans="2:6" ht="19" x14ac:dyDescent="0.2">
      <c r="B36" s="148" t="s">
        <v>106</v>
      </c>
      <c r="C36" s="163" t="s">
        <v>233</v>
      </c>
      <c r="D36" s="166" t="s">
        <v>185</v>
      </c>
      <c r="E36" s="164">
        <v>166.66</v>
      </c>
      <c r="F36" s="162" t="s">
        <v>209</v>
      </c>
    </row>
    <row r="37" spans="2:6" ht="19" x14ac:dyDescent="0.2">
      <c r="D37" s="156" t="s">
        <v>124</v>
      </c>
      <c r="E37" s="157">
        <f>SUM(E35:E36)</f>
        <v>308.2</v>
      </c>
    </row>
    <row r="39" spans="2:6" ht="19" x14ac:dyDescent="0.2">
      <c r="B39" s="148" t="s">
        <v>65</v>
      </c>
      <c r="C39" s="163" t="s">
        <v>65</v>
      </c>
      <c r="D39" s="166" t="s">
        <v>204</v>
      </c>
      <c r="E39" s="164">
        <v>4712.5</v>
      </c>
      <c r="F39" s="162" t="s">
        <v>209</v>
      </c>
    </row>
    <row r="40" spans="2:6" ht="19" x14ac:dyDescent="0.2">
      <c r="D40" s="156" t="s">
        <v>124</v>
      </c>
      <c r="E40" s="157">
        <f>SUM(E39)</f>
        <v>4712.5</v>
      </c>
    </row>
    <row r="42" spans="2:6" ht="19" x14ac:dyDescent="0.2">
      <c r="B42" s="148" t="s">
        <v>106</v>
      </c>
      <c r="C42" s="163" t="s">
        <v>232</v>
      </c>
      <c r="D42" s="166" t="s">
        <v>234</v>
      </c>
      <c r="E42" s="164">
        <v>1466.4</v>
      </c>
      <c r="F42" s="162" t="s">
        <v>209</v>
      </c>
    </row>
    <row r="43" spans="2:6" ht="19" x14ac:dyDescent="0.2">
      <c r="D43" s="156" t="s">
        <v>124</v>
      </c>
      <c r="E43" s="157">
        <f>SUM(E42)</f>
        <v>1466.4</v>
      </c>
    </row>
    <row r="45" spans="2:6" ht="19" x14ac:dyDescent="0.2">
      <c r="B45" s="148" t="s">
        <v>106</v>
      </c>
      <c r="C45" s="163" t="s">
        <v>232</v>
      </c>
      <c r="D45" s="166" t="s">
        <v>235</v>
      </c>
      <c r="E45" s="164">
        <v>1128.81</v>
      </c>
      <c r="F45" s="162" t="s">
        <v>209</v>
      </c>
    </row>
    <row r="46" spans="2:6" ht="19" x14ac:dyDescent="0.2">
      <c r="B46" s="148" t="s">
        <v>106</v>
      </c>
      <c r="C46" s="163" t="s">
        <v>233</v>
      </c>
      <c r="D46" s="166" t="s">
        <v>235</v>
      </c>
      <c r="E46" s="164">
        <v>853.54</v>
      </c>
      <c r="F46" s="162" t="s">
        <v>209</v>
      </c>
    </row>
    <row r="47" spans="2:6" ht="19" x14ac:dyDescent="0.2">
      <c r="D47" s="156" t="s">
        <v>124</v>
      </c>
      <c r="E47" s="157">
        <f>SUM(E45:E46)</f>
        <v>1982.35</v>
      </c>
    </row>
    <row r="51" spans="5:5" x14ac:dyDescent="0.2">
      <c r="E51" s="57">
        <f>SUM(E10,E17,E20,E23,E28,E33,E37,E40,E43,E47)</f>
        <v>30616.410000000003</v>
      </c>
    </row>
  </sheetData>
  <mergeCells count="2">
    <mergeCell ref="B1:F2"/>
    <mergeCell ref="B3:F3"/>
  </mergeCells>
  <phoneticPr fontId="15" type="noConversion"/>
  <dataValidations count="5">
    <dataValidation allowBlank="1" showInputMessage="1" showErrorMessage="1" prompt="Digite o item/descrição nesta coluna sob este título" sqref="E5:F5" xr:uid="{FC88CB9A-2920-8947-B078-E57A9B2B32D8}"/>
    <dataValidation type="list" errorStyle="warning" allowBlank="1" showInputMessage="1" showErrorMessage="1" error="Selecione o cômodo/área da lista. Insira a nova planilha de cômodo/área na Consulta de Cômodos. Selecione CANCELAR, pressione ALT+SETA PARA BAIXO para ver opções, depois para SETA PARA BAIXO e ENTER para fazer a seleção" sqref="D40 D33 D37 D6:D28 D43 D47" xr:uid="{AEF0DF38-3655-C148-B2A1-571D3C90E5D4}">
      <formula1>RoomList</formula1>
    </dataValidation>
    <dataValidation allowBlank="1" showInputMessage="1" showErrorMessage="1" errorTitle="Dados Inválidos" error="Selecione uma entrada da lista. Para adicionar ou alterar itens, use a tabela Cômodo/Área na planilha Consulta de Cômodos." sqref="C6:C13 C17:C27 B6:B27" xr:uid="{6CF21D3A-CC15-9A47-B431-4CDCA8205E26}"/>
    <dataValidation allowBlank="1" showInputMessage="1" showErrorMessage="1" prompt="Selecione o cômodo/área nesta coluna sob este título. Insira o novo cômodo/área na Consulta de Cômodos. Pressione ALT+SETA PARA BAIXO para ver opções, depois SETA PARA BAIXO e ENTER para fazer a seleção" sqref="D5" xr:uid="{6DAAED8D-98B1-EF48-AAAF-F7D7791E56F4}"/>
    <dataValidation allowBlank="1" showInputMessage="1" showErrorMessage="1" prompt="Insira o número do item nesta coluna sob este título. Use filtros de título para encontrar entradas específicas" sqref="B5:C5" xr:uid="{0DD57691-2176-E946-9511-36445F0AD668}"/>
  </dataValidation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E2F1-4AEA-D749-A0D4-F627C337CB85}">
  <sheetPr>
    <pageSetUpPr fitToPage="1"/>
  </sheetPr>
  <dimension ref="A1:F48"/>
  <sheetViews>
    <sheetView showGridLines="0" workbookViewId="0">
      <selection activeCell="C9" sqref="C9"/>
    </sheetView>
  </sheetViews>
  <sheetFormatPr baseColWidth="10" defaultRowHeight="15" x14ac:dyDescent="0.2"/>
  <cols>
    <col min="1" max="1" width="17.83203125" customWidth="1"/>
    <col min="2" max="2" width="15.83203125" customWidth="1"/>
    <col min="3" max="3" width="43.1640625" customWidth="1"/>
    <col min="4" max="4" width="23.5" bestFit="1" customWidth="1"/>
    <col min="5" max="5" width="15.83203125" bestFit="1" customWidth="1"/>
  </cols>
  <sheetData>
    <row r="1" spans="1:6" ht="106" customHeight="1" thickBot="1" x14ac:dyDescent="0.25">
      <c r="A1" s="184" t="s">
        <v>152</v>
      </c>
      <c r="B1" s="184"/>
      <c r="C1" s="185" t="s">
        <v>167</v>
      </c>
      <c r="D1" s="185"/>
      <c r="E1" s="185"/>
      <c r="F1" s="92"/>
    </row>
    <row r="2" spans="1:6" ht="18" x14ac:dyDescent="0.2">
      <c r="A2" s="186" t="s">
        <v>153</v>
      </c>
      <c r="B2" s="186"/>
      <c r="C2" s="186"/>
      <c r="D2" s="186"/>
      <c r="E2" s="93">
        <f ca="1">TODAY()</f>
        <v>45205</v>
      </c>
      <c r="F2" s="94"/>
    </row>
    <row r="3" spans="1:6" ht="19" thickBot="1" x14ac:dyDescent="0.25">
      <c r="A3" s="187"/>
      <c r="B3" s="187"/>
      <c r="C3" s="187"/>
      <c r="D3" s="187"/>
      <c r="E3" s="95"/>
      <c r="F3" s="96"/>
    </row>
    <row r="4" spans="1:6" ht="18" x14ac:dyDescent="0.2">
      <c r="A4" s="102" t="s">
        <v>154</v>
      </c>
      <c r="B4" s="188" t="s">
        <v>181</v>
      </c>
      <c r="C4" s="188"/>
      <c r="D4" s="99"/>
      <c r="E4" s="100"/>
      <c r="F4" s="101"/>
    </row>
    <row r="5" spans="1:6" ht="18" x14ac:dyDescent="0.2">
      <c r="A5" s="102" t="s">
        <v>177</v>
      </c>
      <c r="B5" s="102"/>
      <c r="C5" s="102"/>
      <c r="D5" s="98"/>
      <c r="E5" s="100"/>
      <c r="F5" s="101"/>
    </row>
    <row r="6" spans="1:6" ht="18" x14ac:dyDescent="0.2">
      <c r="A6" s="102" t="s">
        <v>155</v>
      </c>
      <c r="B6" s="102"/>
      <c r="C6" s="102"/>
      <c r="D6" s="98"/>
      <c r="E6" s="100"/>
      <c r="F6" s="101"/>
    </row>
    <row r="7" spans="1:6" ht="18" x14ac:dyDescent="0.2">
      <c r="A7" s="103"/>
      <c r="B7" s="103"/>
      <c r="C7" s="104"/>
      <c r="D7" s="105"/>
      <c r="E7" s="105"/>
      <c r="F7" s="94"/>
    </row>
    <row r="8" spans="1:6" ht="18" x14ac:dyDescent="0.15">
      <c r="A8" s="106" t="s">
        <v>156</v>
      </c>
      <c r="B8" s="106" t="s">
        <v>157</v>
      </c>
      <c r="C8" s="106" t="s">
        <v>158</v>
      </c>
      <c r="D8" s="107" t="s">
        <v>159</v>
      </c>
      <c r="E8" s="107" t="s">
        <v>160</v>
      </c>
      <c r="F8" s="94"/>
    </row>
    <row r="9" spans="1:6" x14ac:dyDescent="0.15">
      <c r="A9" s="108">
        <v>4</v>
      </c>
      <c r="B9" s="108">
        <v>271155</v>
      </c>
      <c r="C9" s="109" t="s">
        <v>182</v>
      </c>
      <c r="D9" s="110">
        <v>37.409999999999997</v>
      </c>
      <c r="E9" s="111">
        <f>Tabela1[[#This Row],[Qtd.]]*Tabela1[[#This Row],[Preço unitário]]</f>
        <v>149.63999999999999</v>
      </c>
      <c r="F9" s="94"/>
    </row>
    <row r="10" spans="1:6" x14ac:dyDescent="0.15">
      <c r="A10" s="112"/>
      <c r="B10" s="112"/>
      <c r="C10" s="133"/>
      <c r="D10" s="111"/>
      <c r="E10" s="111"/>
      <c r="F10" s="94"/>
    </row>
    <row r="11" spans="1:6" x14ac:dyDescent="0.15">
      <c r="A11" s="108"/>
      <c r="B11" s="108"/>
      <c r="C11" s="109"/>
      <c r="D11" s="110"/>
      <c r="E11" s="111"/>
      <c r="F11" s="94"/>
    </row>
    <row r="12" spans="1:6" x14ac:dyDescent="0.15">
      <c r="A12" s="112"/>
      <c r="B12" s="112"/>
      <c r="C12" s="113"/>
      <c r="D12" s="111"/>
      <c r="E12" s="111"/>
      <c r="F12" s="94"/>
    </row>
    <row r="13" spans="1:6" x14ac:dyDescent="0.15">
      <c r="A13" s="108"/>
      <c r="B13" s="108"/>
      <c r="C13" s="109"/>
      <c r="D13" s="110"/>
      <c r="E13" s="111"/>
      <c r="F13" s="94"/>
    </row>
    <row r="14" spans="1:6" x14ac:dyDescent="0.15">
      <c r="A14" s="112"/>
      <c r="B14" s="112"/>
      <c r="C14" s="113"/>
      <c r="D14" s="111"/>
      <c r="E14" s="111"/>
      <c r="F14" s="94"/>
    </row>
    <row r="15" spans="1:6" x14ac:dyDescent="0.15">
      <c r="A15" s="108"/>
      <c r="B15" s="108"/>
      <c r="C15" s="109"/>
      <c r="D15" s="110"/>
      <c r="E15" s="111"/>
      <c r="F15" s="94"/>
    </row>
    <row r="16" spans="1:6" x14ac:dyDescent="0.15">
      <c r="A16" s="112"/>
      <c r="B16" s="112"/>
      <c r="C16" s="113"/>
      <c r="D16" s="111"/>
      <c r="E16" s="111"/>
      <c r="F16" s="94"/>
    </row>
    <row r="17" spans="1:6" x14ac:dyDescent="0.15">
      <c r="A17" s="108"/>
      <c r="B17" s="108"/>
      <c r="C17" s="109"/>
      <c r="D17" s="110"/>
      <c r="E17" s="111"/>
      <c r="F17" s="94"/>
    </row>
    <row r="18" spans="1:6" x14ac:dyDescent="0.15">
      <c r="A18" s="112"/>
      <c r="B18" s="112"/>
      <c r="C18" s="113"/>
      <c r="D18" s="111"/>
      <c r="E18" s="111"/>
      <c r="F18" s="94"/>
    </row>
    <row r="19" spans="1:6" x14ac:dyDescent="0.15">
      <c r="A19" s="108"/>
      <c r="B19" s="108"/>
      <c r="C19" s="109"/>
      <c r="D19" s="110"/>
      <c r="E19" s="111"/>
      <c r="F19" s="94"/>
    </row>
    <row r="20" spans="1:6" x14ac:dyDescent="0.15">
      <c r="A20" s="112"/>
      <c r="B20" s="112"/>
      <c r="C20" s="113"/>
      <c r="D20" s="111"/>
      <c r="E20" s="111"/>
      <c r="F20" s="94"/>
    </row>
    <row r="21" spans="1:6" x14ac:dyDescent="0.15">
      <c r="A21" s="108"/>
      <c r="B21" s="108"/>
      <c r="C21" s="109"/>
      <c r="D21" s="110"/>
      <c r="E21" s="111"/>
      <c r="F21" s="94"/>
    </row>
    <row r="22" spans="1:6" x14ac:dyDescent="0.15">
      <c r="A22" s="112"/>
      <c r="B22" s="112"/>
      <c r="C22" s="113"/>
      <c r="D22" s="111"/>
      <c r="E22" s="111"/>
      <c r="F22" s="94"/>
    </row>
    <row r="23" spans="1:6" x14ac:dyDescent="0.15">
      <c r="A23" s="108"/>
      <c r="B23" s="108"/>
      <c r="C23" s="109"/>
      <c r="D23" s="110"/>
      <c r="E23" s="111"/>
      <c r="F23" s="94"/>
    </row>
    <row r="24" spans="1:6" x14ac:dyDescent="0.15">
      <c r="A24" s="112"/>
      <c r="B24" s="112"/>
      <c r="C24" s="113"/>
      <c r="D24" s="111"/>
      <c r="E24" s="111"/>
      <c r="F24" s="94"/>
    </row>
    <row r="25" spans="1:6" x14ac:dyDescent="0.15">
      <c r="A25" s="108"/>
      <c r="B25" s="108"/>
      <c r="C25" s="109"/>
      <c r="D25" s="110"/>
      <c r="E25" s="111"/>
      <c r="F25" s="94"/>
    </row>
    <row r="26" spans="1:6" x14ac:dyDescent="0.15">
      <c r="A26" s="112"/>
      <c r="B26" s="112"/>
      <c r="C26" s="113"/>
      <c r="D26" s="111"/>
      <c r="E26" s="111"/>
      <c r="F26" s="94"/>
    </row>
    <row r="27" spans="1:6" x14ac:dyDescent="0.15">
      <c r="A27" s="108"/>
      <c r="B27" s="108"/>
      <c r="C27" s="109"/>
      <c r="D27" s="110"/>
      <c r="E27" s="111"/>
      <c r="F27" s="94"/>
    </row>
    <row r="28" spans="1:6" x14ac:dyDescent="0.15">
      <c r="A28" s="112"/>
      <c r="B28" s="112"/>
      <c r="C28" s="113"/>
      <c r="D28" s="111"/>
      <c r="E28" s="111"/>
      <c r="F28" s="94"/>
    </row>
    <row r="29" spans="1:6" x14ac:dyDescent="0.15">
      <c r="A29" s="108"/>
      <c r="B29" s="108"/>
      <c r="C29" s="109"/>
      <c r="D29" s="110"/>
      <c r="E29" s="111"/>
      <c r="F29" s="94"/>
    </row>
    <row r="30" spans="1:6" x14ac:dyDescent="0.15">
      <c r="A30" s="112"/>
      <c r="B30" s="112"/>
      <c r="C30" s="113"/>
      <c r="D30" s="111"/>
      <c r="E30" s="111"/>
      <c r="F30" s="94"/>
    </row>
    <row r="31" spans="1:6" x14ac:dyDescent="0.15">
      <c r="A31" s="108"/>
      <c r="B31" s="108"/>
      <c r="C31" s="109"/>
      <c r="D31" s="110"/>
      <c r="E31" s="111"/>
      <c r="F31" s="94"/>
    </row>
    <row r="32" spans="1:6" x14ac:dyDescent="0.15">
      <c r="A32" s="112"/>
      <c r="B32" s="112"/>
      <c r="C32" s="113"/>
      <c r="D32" s="111"/>
      <c r="E32" s="111"/>
      <c r="F32" s="94"/>
    </row>
    <row r="33" spans="1:6" ht="16" thickBot="1" x14ac:dyDescent="0.2">
      <c r="A33" s="108"/>
      <c r="B33" s="108"/>
      <c r="C33" s="109"/>
      <c r="D33" s="110"/>
      <c r="E33" s="111"/>
      <c r="F33" s="94"/>
    </row>
    <row r="34" spans="1:6" ht="19" thickBot="1" x14ac:dyDescent="0.25">
      <c r="A34" s="114"/>
      <c r="B34" s="115"/>
      <c r="C34" s="115"/>
      <c r="D34" s="116"/>
      <c r="E34" s="117"/>
      <c r="F34" s="94"/>
    </row>
    <row r="35" spans="1:6" ht="19" thickBot="1" x14ac:dyDescent="0.25">
      <c r="A35" s="118"/>
      <c r="B35" s="118"/>
      <c r="C35" s="118"/>
      <c r="D35" s="97" t="s">
        <v>161</v>
      </c>
      <c r="E35" s="119">
        <f>SUM(E9:E34)</f>
        <v>149.63999999999999</v>
      </c>
      <c r="F35" s="122"/>
    </row>
    <row r="36" spans="1:6" ht="19" thickBot="1" x14ac:dyDescent="0.25">
      <c r="A36" s="118"/>
      <c r="B36" s="118"/>
      <c r="C36" s="118"/>
      <c r="D36" s="120"/>
      <c r="E36" s="121"/>
      <c r="F36" s="94"/>
    </row>
    <row r="37" spans="1:6" ht="19" thickBot="1" x14ac:dyDescent="0.25">
      <c r="A37" s="122"/>
      <c r="B37" s="118"/>
      <c r="C37" s="118"/>
      <c r="D37" s="123" t="s">
        <v>110</v>
      </c>
      <c r="E37" s="119">
        <f>IF(SUM(E35)&gt;0,SUM((E35*E36)+E35),"")</f>
        <v>149.63999999999999</v>
      </c>
      <c r="F37" s="94"/>
    </row>
    <row r="38" spans="1:6" ht="18" x14ac:dyDescent="0.2">
      <c r="A38" s="124"/>
      <c r="B38" s="124"/>
      <c r="C38" s="124"/>
      <c r="D38" s="124"/>
      <c r="E38" s="124"/>
      <c r="F38" s="94"/>
    </row>
    <row r="46" spans="1:6" x14ac:dyDescent="0.2">
      <c r="A46" s="183" t="s">
        <v>162</v>
      </c>
      <c r="B46" s="183"/>
      <c r="C46" s="183"/>
      <c r="D46" s="183"/>
      <c r="E46" s="183"/>
    </row>
    <row r="47" spans="1:6" x14ac:dyDescent="0.2">
      <c r="A47" s="183" t="s">
        <v>163</v>
      </c>
      <c r="B47" s="183"/>
      <c r="C47" s="183"/>
      <c r="D47" s="183"/>
      <c r="E47" s="183"/>
    </row>
    <row r="48" spans="1:6" x14ac:dyDescent="0.2">
      <c r="A48" s="183" t="s">
        <v>164</v>
      </c>
      <c r="B48" s="183"/>
      <c r="C48" s="183"/>
      <c r="D48" s="183"/>
      <c r="E48" s="183"/>
    </row>
  </sheetData>
  <mergeCells count="7">
    <mergeCell ref="A48:E48"/>
    <mergeCell ref="A1:B1"/>
    <mergeCell ref="C1:E1"/>
    <mergeCell ref="A2:D3"/>
    <mergeCell ref="B4:C4"/>
    <mergeCell ref="A46:E46"/>
    <mergeCell ref="A47:E47"/>
  </mergeCells>
  <pageMargins left="0.511811024" right="0.511811024" top="0.78740157499999996" bottom="0.78740157499999996" header="0.31496062000000002" footer="0.31496062000000002"/>
  <pageSetup paperSize="9" scale="74" orientation="portrait" horizontalDpi="0" verticalDpi="0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theme="5"/>
    <pageSetUpPr fitToPage="1"/>
  </sheetPr>
  <dimension ref="B1:I15"/>
  <sheetViews>
    <sheetView showGridLines="0" zoomScaleNormal="100" workbookViewId="0">
      <selection activeCell="H8" sqref="H8"/>
    </sheetView>
  </sheetViews>
  <sheetFormatPr baseColWidth="10" defaultColWidth="8.83203125" defaultRowHeight="30" customHeight="1" x14ac:dyDescent="0.2"/>
  <cols>
    <col min="1" max="1" width="2.6640625" customWidth="1"/>
    <col min="2" max="2" width="50.5" customWidth="1"/>
    <col min="3" max="3" width="2.6640625" customWidth="1"/>
    <col min="9" max="9" width="15.5" customWidth="1"/>
  </cols>
  <sheetData>
    <row r="1" spans="2:9" ht="35" customHeight="1" x14ac:dyDescent="0.2">
      <c r="B1" s="4"/>
    </row>
    <row r="2" spans="2:9" ht="50" customHeight="1" x14ac:dyDescent="0.2">
      <c r="B2" s="3" t="s">
        <v>15</v>
      </c>
    </row>
    <row r="3" spans="2:9" ht="30" customHeight="1" x14ac:dyDescent="0.2">
      <c r="B3" t="s">
        <v>5</v>
      </c>
      <c r="E3" s="189" t="s">
        <v>17</v>
      </c>
      <c r="F3" s="190"/>
      <c r="G3" s="190"/>
      <c r="H3" s="190"/>
      <c r="I3" s="190"/>
    </row>
    <row r="4" spans="2:9" ht="30" customHeight="1" x14ac:dyDescent="0.2">
      <c r="B4" s="2" t="s">
        <v>2</v>
      </c>
      <c r="E4" s="22" t="s">
        <v>18</v>
      </c>
      <c r="F4" s="22"/>
      <c r="G4" s="22" t="s">
        <v>33</v>
      </c>
      <c r="H4" s="22" t="s">
        <v>13</v>
      </c>
      <c r="I4" s="22" t="s">
        <v>176</v>
      </c>
    </row>
    <row r="5" spans="2:9" ht="30" customHeight="1" x14ac:dyDescent="0.2">
      <c r="B5" s="2" t="s">
        <v>129</v>
      </c>
      <c r="E5" s="22" t="s">
        <v>19</v>
      </c>
      <c r="F5" s="22"/>
      <c r="G5" s="22" t="s">
        <v>34</v>
      </c>
      <c r="H5" s="22" t="s">
        <v>29</v>
      </c>
      <c r="I5" s="22" t="s">
        <v>178</v>
      </c>
    </row>
    <row r="6" spans="2:9" ht="30" customHeight="1" x14ac:dyDescent="0.2">
      <c r="B6" s="2" t="s">
        <v>131</v>
      </c>
      <c r="E6" s="22" t="s">
        <v>20</v>
      </c>
      <c r="F6" s="22"/>
      <c r="G6" s="22" t="s">
        <v>35</v>
      </c>
      <c r="H6" s="22" t="s">
        <v>28</v>
      </c>
      <c r="I6" s="22" t="s">
        <v>179</v>
      </c>
    </row>
    <row r="7" spans="2:9" ht="30" customHeight="1" x14ac:dyDescent="0.2">
      <c r="B7" s="2" t="s">
        <v>132</v>
      </c>
      <c r="E7" s="22" t="s">
        <v>21</v>
      </c>
      <c r="F7" s="22"/>
      <c r="G7" s="22" t="s">
        <v>36</v>
      </c>
      <c r="H7" s="22" t="s">
        <v>222</v>
      </c>
      <c r="I7" s="22" t="s">
        <v>198</v>
      </c>
    </row>
    <row r="8" spans="2:9" ht="30" customHeight="1" x14ac:dyDescent="0.2">
      <c r="B8" s="2" t="s">
        <v>134</v>
      </c>
      <c r="E8" s="22" t="s">
        <v>22</v>
      </c>
      <c r="F8" s="22"/>
      <c r="G8" s="22" t="s">
        <v>37</v>
      </c>
      <c r="H8" s="22"/>
      <c r="I8" s="22"/>
    </row>
    <row r="9" spans="2:9" ht="30" customHeight="1" x14ac:dyDescent="0.2">
      <c r="B9" s="2" t="s">
        <v>135</v>
      </c>
      <c r="E9" s="22" t="s">
        <v>23</v>
      </c>
      <c r="F9" s="22"/>
      <c r="G9" s="22" t="s">
        <v>38</v>
      </c>
      <c r="H9" s="22"/>
      <c r="I9" s="22"/>
    </row>
    <row r="10" spans="2:9" ht="30" customHeight="1" x14ac:dyDescent="0.2">
      <c r="B10" s="2" t="s">
        <v>136</v>
      </c>
      <c r="E10" s="22" t="s">
        <v>24</v>
      </c>
      <c r="F10" s="22"/>
      <c r="G10" s="22" t="s">
        <v>39</v>
      </c>
      <c r="H10" s="22"/>
      <c r="I10" s="22"/>
    </row>
    <row r="11" spans="2:9" ht="30" customHeight="1" x14ac:dyDescent="0.2">
      <c r="B11" s="2" t="s">
        <v>31</v>
      </c>
      <c r="E11" s="22" t="s">
        <v>25</v>
      </c>
      <c r="F11" s="22"/>
      <c r="G11" s="22" t="s">
        <v>40</v>
      </c>
      <c r="H11" s="22"/>
      <c r="I11" s="22"/>
    </row>
    <row r="12" spans="2:9" ht="30" customHeight="1" x14ac:dyDescent="0.2">
      <c r="B12" s="2"/>
      <c r="E12" s="22" t="s">
        <v>26</v>
      </c>
      <c r="F12" s="22"/>
      <c r="G12" s="22" t="s">
        <v>41</v>
      </c>
      <c r="H12" s="22"/>
      <c r="I12" s="22"/>
    </row>
    <row r="13" spans="2:9" ht="30" customHeight="1" x14ac:dyDescent="0.2">
      <c r="B13" s="2"/>
      <c r="E13" s="22" t="s">
        <v>27</v>
      </c>
      <c r="F13" s="22"/>
      <c r="G13" s="22" t="s">
        <v>42</v>
      </c>
      <c r="H13" s="22"/>
      <c r="I13" s="22"/>
    </row>
    <row r="14" spans="2:9" ht="30" customHeight="1" x14ac:dyDescent="0.2">
      <c r="B14" s="2"/>
      <c r="G14" s="22" t="s">
        <v>43</v>
      </c>
    </row>
    <row r="15" spans="2:9" ht="30" customHeight="1" x14ac:dyDescent="0.2">
      <c r="B15" s="2"/>
      <c r="G15" s="22" t="s">
        <v>44</v>
      </c>
    </row>
  </sheetData>
  <dataConsolidate/>
  <mergeCells count="1">
    <mergeCell ref="E3:I3"/>
  </mergeCells>
  <phoneticPr fontId="15" type="noConversion"/>
  <dataValidations count="3">
    <dataValidation allowBlank="1" showInputMessage="1" showErrorMessage="1" prompt="Crie uma lista de cômodos ou áreas nesta planilha. Personalize a seleção de cômodo/área na tabela Inventário, inserindo ou modificando a tabela de Cômodo/Área na Consulta de Cômodos nesta planilha" sqref="A1" xr:uid="{00000000-0002-0000-0100-000000000000}"/>
    <dataValidation allowBlank="1" showInputMessage="1" showErrorMessage="1" prompt="O título desta planilha está nesta célula" sqref="B1" xr:uid="{00000000-0002-0000-0100-000001000000}"/>
    <dataValidation allowBlank="1" showInputMessage="1" showErrorMessage="1" prompt="Os cômodos ou áreas estão nesta coluna sob este título" sqref="B3 E3" xr:uid="{00000000-0002-0000-0100-000002000000}"/>
  </dataValidations>
  <printOptions horizontalCentered="1"/>
  <pageMargins left="0.7" right="0.7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BBED-3553-A047-8EB0-692DB918BAC4}">
  <sheetPr>
    <tabColor theme="3"/>
  </sheetPr>
  <dimension ref="B3:F35"/>
  <sheetViews>
    <sheetView showGridLines="0" workbookViewId="0">
      <selection activeCell="F43" sqref="F43"/>
    </sheetView>
  </sheetViews>
  <sheetFormatPr baseColWidth="10" defaultRowHeight="15" x14ac:dyDescent="0.2"/>
  <cols>
    <col min="1" max="1" width="10.83203125" style="38"/>
    <col min="2" max="2" width="17.6640625" style="55" customWidth="1"/>
    <col min="3" max="3" width="38.6640625" style="38" bestFit="1" customWidth="1"/>
    <col min="4" max="4" width="18.6640625" style="56" customWidth="1"/>
    <col min="5" max="5" width="28.1640625" style="38" customWidth="1"/>
    <col min="6" max="6" width="24.1640625" style="57" bestFit="1" customWidth="1"/>
    <col min="7" max="16384" width="10.83203125" style="38"/>
  </cols>
  <sheetData>
    <row r="3" spans="2:6" ht="33" customHeight="1" x14ac:dyDescent="0.2">
      <c r="B3" s="191" t="s">
        <v>46</v>
      </c>
      <c r="C3" s="191"/>
      <c r="D3" s="191"/>
      <c r="E3" s="36" t="s">
        <v>47</v>
      </c>
      <c r="F3" s="37">
        <f>D17+D31</f>
        <v>99650</v>
      </c>
    </row>
    <row r="4" spans="2:6" ht="33" customHeight="1" x14ac:dyDescent="0.2">
      <c r="B4" s="39"/>
      <c r="C4" s="40"/>
      <c r="D4" s="37"/>
      <c r="E4" s="41"/>
      <c r="F4" s="42"/>
    </row>
    <row r="6" spans="2:6" s="45" customFormat="1" ht="20" thickBot="1" x14ac:dyDescent="0.3">
      <c r="B6" s="43" t="s">
        <v>48</v>
      </c>
      <c r="C6" s="43" t="s">
        <v>49</v>
      </c>
      <c r="D6" s="44" t="s">
        <v>50</v>
      </c>
      <c r="E6" s="43" t="s">
        <v>51</v>
      </c>
      <c r="F6" s="44" t="s">
        <v>52</v>
      </c>
    </row>
    <row r="7" spans="2:6" s="50" customFormat="1" ht="17" customHeight="1" thickBot="1" x14ac:dyDescent="0.25">
      <c r="B7" s="46">
        <v>45140</v>
      </c>
      <c r="C7" s="47" t="s">
        <v>53</v>
      </c>
      <c r="D7" s="48">
        <v>3300</v>
      </c>
      <c r="E7" s="49" t="s">
        <v>54</v>
      </c>
      <c r="F7" s="49" t="s">
        <v>13</v>
      </c>
    </row>
    <row r="8" spans="2:6" s="50" customFormat="1" ht="21" customHeight="1" thickBot="1" x14ac:dyDescent="0.25">
      <c r="B8" s="46">
        <v>45142</v>
      </c>
      <c r="C8" s="47" t="s">
        <v>61</v>
      </c>
      <c r="D8" s="48">
        <v>1300</v>
      </c>
      <c r="E8" s="49" t="s">
        <v>62</v>
      </c>
      <c r="F8" s="49" t="s">
        <v>13</v>
      </c>
    </row>
    <row r="9" spans="2:6" s="50" customFormat="1" ht="17" thickBot="1" x14ac:dyDescent="0.25">
      <c r="B9" s="46">
        <v>45142</v>
      </c>
      <c r="C9" s="47" t="s">
        <v>63</v>
      </c>
      <c r="D9" s="48">
        <v>1580</v>
      </c>
      <c r="E9" s="49" t="s">
        <v>62</v>
      </c>
      <c r="F9" s="49" t="s">
        <v>13</v>
      </c>
    </row>
    <row r="10" spans="2:6" s="50" customFormat="1" ht="17" thickBot="1" x14ac:dyDescent="0.25">
      <c r="B10" s="46">
        <v>45142</v>
      </c>
      <c r="C10" s="47" t="s">
        <v>69</v>
      </c>
      <c r="D10" s="48"/>
      <c r="E10" s="49"/>
      <c r="F10" s="49" t="s">
        <v>13</v>
      </c>
    </row>
    <row r="11" spans="2:6" s="50" customFormat="1" ht="17" thickBot="1" x14ac:dyDescent="0.25">
      <c r="B11" s="46">
        <v>45148</v>
      </c>
      <c r="C11" s="47" t="s">
        <v>64</v>
      </c>
      <c r="D11" s="48" t="s">
        <v>65</v>
      </c>
      <c r="E11" s="49" t="s">
        <v>65</v>
      </c>
      <c r="F11" s="49" t="s">
        <v>13</v>
      </c>
    </row>
    <row r="12" spans="2:6" s="50" customFormat="1" ht="17" thickBot="1" x14ac:dyDescent="0.25">
      <c r="B12" s="46">
        <v>45148</v>
      </c>
      <c r="C12" s="47" t="s">
        <v>66</v>
      </c>
      <c r="D12" s="48">
        <v>900</v>
      </c>
      <c r="E12" s="49" t="s">
        <v>65</v>
      </c>
      <c r="F12" s="49" t="s">
        <v>13</v>
      </c>
    </row>
    <row r="13" spans="2:6" s="50" customFormat="1" ht="17" thickBot="1" x14ac:dyDescent="0.25">
      <c r="B13" s="46">
        <v>45153</v>
      </c>
      <c r="C13" s="47" t="s">
        <v>55</v>
      </c>
      <c r="D13" s="48">
        <v>1100</v>
      </c>
      <c r="E13" s="49" t="s">
        <v>56</v>
      </c>
      <c r="F13" s="49" t="s">
        <v>13</v>
      </c>
    </row>
    <row r="14" spans="2:6" s="50" customFormat="1" ht="17" thickBot="1" x14ac:dyDescent="0.25">
      <c r="B14" s="46">
        <v>45153</v>
      </c>
      <c r="C14" s="47" t="s">
        <v>67</v>
      </c>
      <c r="D14" s="48"/>
      <c r="E14" s="49" t="s">
        <v>68</v>
      </c>
      <c r="F14" s="49" t="s">
        <v>13</v>
      </c>
    </row>
    <row r="15" spans="2:6" s="50" customFormat="1" ht="17" thickBot="1" x14ac:dyDescent="0.25">
      <c r="B15" s="46">
        <v>45158</v>
      </c>
      <c r="C15" s="47" t="s">
        <v>57</v>
      </c>
      <c r="D15" s="48">
        <v>3000</v>
      </c>
      <c r="E15" s="49" t="s">
        <v>58</v>
      </c>
      <c r="F15" s="49" t="s">
        <v>13</v>
      </c>
    </row>
    <row r="16" spans="2:6" s="50" customFormat="1" ht="17" thickBot="1" x14ac:dyDescent="0.25">
      <c r="B16" s="46">
        <v>45160</v>
      </c>
      <c r="C16" s="47" t="s">
        <v>59</v>
      </c>
      <c r="D16" s="48">
        <v>600</v>
      </c>
      <c r="E16" s="49" t="s">
        <v>60</v>
      </c>
      <c r="F16" s="49"/>
    </row>
    <row r="17" spans="2:6" s="50" customFormat="1" ht="17" thickBot="1" x14ac:dyDescent="0.25">
      <c r="B17" s="192" t="s">
        <v>124</v>
      </c>
      <c r="C17" s="193"/>
      <c r="D17" s="51">
        <f>SUM(D7:D16)</f>
        <v>11780</v>
      </c>
      <c r="E17" s="194"/>
      <c r="F17" s="195"/>
    </row>
    <row r="18" spans="2:6" s="50" customFormat="1" ht="16" x14ac:dyDescent="0.2">
      <c r="B18" s="52"/>
      <c r="D18" s="53"/>
      <c r="F18" s="54"/>
    </row>
    <row r="19" spans="2:6" s="50" customFormat="1" ht="20" thickBot="1" x14ac:dyDescent="0.3">
      <c r="B19" s="43" t="s">
        <v>48</v>
      </c>
      <c r="C19" s="43" t="s">
        <v>49</v>
      </c>
      <c r="D19" s="44" t="s">
        <v>50</v>
      </c>
      <c r="E19" s="43" t="s">
        <v>51</v>
      </c>
      <c r="F19" s="44" t="s">
        <v>52</v>
      </c>
    </row>
    <row r="20" spans="2:6" s="50" customFormat="1" ht="17" thickBot="1" x14ac:dyDescent="0.25">
      <c r="B20" s="46">
        <v>45139</v>
      </c>
      <c r="C20" s="47" t="s">
        <v>76</v>
      </c>
      <c r="D20" s="48">
        <v>45000</v>
      </c>
      <c r="E20" s="49" t="s">
        <v>71</v>
      </c>
      <c r="F20" s="49"/>
    </row>
    <row r="21" spans="2:6" s="50" customFormat="1" ht="17" thickBot="1" x14ac:dyDescent="0.25">
      <c r="B21" s="46">
        <v>45142</v>
      </c>
      <c r="C21" s="47" t="s">
        <v>81</v>
      </c>
      <c r="D21" s="48"/>
      <c r="E21" s="49" t="s">
        <v>71</v>
      </c>
      <c r="F21" s="49"/>
    </row>
    <row r="22" spans="2:6" s="50" customFormat="1" ht="17" thickBot="1" x14ac:dyDescent="0.25">
      <c r="B22" s="46">
        <v>45143</v>
      </c>
      <c r="C22" s="47" t="s">
        <v>70</v>
      </c>
      <c r="D22" s="48">
        <v>63200</v>
      </c>
      <c r="E22" s="49" t="s">
        <v>71</v>
      </c>
      <c r="F22" s="49"/>
    </row>
    <row r="23" spans="2:6" s="50" customFormat="1" ht="17" thickBot="1" x14ac:dyDescent="0.25">
      <c r="B23" s="46">
        <v>45143</v>
      </c>
      <c r="C23" s="47" t="s">
        <v>72</v>
      </c>
      <c r="D23" s="48"/>
      <c r="E23" s="49" t="s">
        <v>71</v>
      </c>
      <c r="F23" s="49"/>
    </row>
    <row r="24" spans="2:6" s="50" customFormat="1" ht="17" thickBot="1" x14ac:dyDescent="0.25">
      <c r="B24" s="46">
        <v>45148</v>
      </c>
      <c r="C24" s="47" t="s">
        <v>73</v>
      </c>
      <c r="D24" s="48">
        <v>406</v>
      </c>
      <c r="E24" s="49" t="s">
        <v>71</v>
      </c>
      <c r="F24" s="49"/>
    </row>
    <row r="25" spans="2:6" s="50" customFormat="1" ht="17" thickBot="1" x14ac:dyDescent="0.25">
      <c r="B25" s="46">
        <v>45148</v>
      </c>
      <c r="C25" s="47" t="s">
        <v>74</v>
      </c>
      <c r="D25" s="48"/>
      <c r="E25" s="49" t="s">
        <v>71</v>
      </c>
      <c r="F25" s="49"/>
    </row>
    <row r="26" spans="2:6" s="50" customFormat="1" ht="17" thickBot="1" x14ac:dyDescent="0.25">
      <c r="B26" s="46">
        <v>45153</v>
      </c>
      <c r="C26" s="47" t="s">
        <v>75</v>
      </c>
      <c r="D26" s="48">
        <v>6100</v>
      </c>
      <c r="E26" s="49" t="s">
        <v>71</v>
      </c>
      <c r="F26" s="49"/>
    </row>
    <row r="27" spans="2:6" s="50" customFormat="1" ht="17" thickBot="1" x14ac:dyDescent="0.25">
      <c r="B27" s="46">
        <v>45153</v>
      </c>
      <c r="C27" s="47" t="s">
        <v>79</v>
      </c>
      <c r="D27" s="48"/>
      <c r="E27" s="49" t="s">
        <v>71</v>
      </c>
      <c r="F27" s="49"/>
    </row>
    <row r="28" spans="2:6" s="50" customFormat="1" ht="17" thickBot="1" x14ac:dyDescent="0.25">
      <c r="B28" s="46">
        <v>45153</v>
      </c>
      <c r="C28" s="47" t="s">
        <v>80</v>
      </c>
      <c r="D28" s="48"/>
      <c r="E28" s="49" t="s">
        <v>71</v>
      </c>
      <c r="F28" s="49"/>
    </row>
    <row r="29" spans="2:6" s="50" customFormat="1" ht="17" thickBot="1" x14ac:dyDescent="0.25">
      <c r="B29" s="46"/>
      <c r="C29" s="47" t="s">
        <v>77</v>
      </c>
      <c r="D29" s="48">
        <v>1200</v>
      </c>
      <c r="E29" s="49" t="s">
        <v>71</v>
      </c>
      <c r="F29" s="49"/>
    </row>
    <row r="30" spans="2:6" s="50" customFormat="1" ht="17" thickBot="1" x14ac:dyDescent="0.25">
      <c r="B30" s="46"/>
      <c r="C30" s="47" t="s">
        <v>78</v>
      </c>
      <c r="D30" s="48">
        <v>16964</v>
      </c>
      <c r="E30" s="49" t="s">
        <v>71</v>
      </c>
      <c r="F30" s="49"/>
    </row>
    <row r="31" spans="2:6" s="50" customFormat="1" ht="17" thickBot="1" x14ac:dyDescent="0.25">
      <c r="B31" s="192" t="s">
        <v>124</v>
      </c>
      <c r="C31" s="193"/>
      <c r="D31" s="51">
        <f>SUM(D21:D30)</f>
        <v>87870</v>
      </c>
      <c r="E31" s="194"/>
      <c r="F31" s="195"/>
    </row>
    <row r="33" spans="2:3" ht="16" thickBot="1" x14ac:dyDescent="0.25"/>
    <row r="34" spans="2:3" ht="17" thickBot="1" x14ac:dyDescent="0.25">
      <c r="B34" s="49" t="s">
        <v>13</v>
      </c>
      <c r="C34" s="49"/>
    </row>
    <row r="35" spans="2:3" ht="17" thickBot="1" x14ac:dyDescent="0.25">
      <c r="B35" s="49" t="s">
        <v>12</v>
      </c>
      <c r="C35" s="49"/>
    </row>
  </sheetData>
  <sortState xmlns:xlrd2="http://schemas.microsoft.com/office/spreadsheetml/2017/richdata2" ref="B7:F16">
    <sortCondition ref="B7:B16"/>
  </sortState>
  <mergeCells count="5">
    <mergeCell ref="B3:D3"/>
    <mergeCell ref="B17:C17"/>
    <mergeCell ref="E17:F17"/>
    <mergeCell ref="B31:C31"/>
    <mergeCell ref="E31:F31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9396-7003-3E44-A06E-42A6999C3824}">
  <sheetPr>
    <tabColor theme="3"/>
  </sheetPr>
  <dimension ref="A3:L34"/>
  <sheetViews>
    <sheetView showGridLines="0" workbookViewId="0">
      <selection activeCell="B6" sqref="B6"/>
    </sheetView>
  </sheetViews>
  <sheetFormatPr baseColWidth="10" defaultRowHeight="16" x14ac:dyDescent="0.2"/>
  <cols>
    <col min="1" max="1" width="10.83203125" style="50"/>
    <col min="2" max="2" width="17.6640625" style="68" customWidth="1"/>
    <col min="3" max="3" width="37.83203125" style="50" bestFit="1" customWidth="1"/>
    <col min="4" max="4" width="29.33203125" style="54" bestFit="1" customWidth="1"/>
    <col min="5" max="5" width="19.1640625" style="52" customWidth="1"/>
    <col min="6" max="6" width="28.5" style="52" customWidth="1"/>
    <col min="7" max="7" width="25.83203125" style="53" customWidth="1"/>
    <col min="8" max="8" width="28.83203125" style="50" bestFit="1" customWidth="1"/>
    <col min="9" max="9" width="10.83203125" style="50"/>
    <col min="10" max="10" width="21.5" style="50" bestFit="1" customWidth="1"/>
    <col min="11" max="11" width="33.33203125" style="50" customWidth="1"/>
    <col min="12" max="12" width="17.6640625" style="50" bestFit="1" customWidth="1"/>
    <col min="13" max="16384" width="10.83203125" style="50"/>
  </cols>
  <sheetData>
    <row r="3" spans="2:12" ht="31" x14ac:dyDescent="0.35">
      <c r="B3" s="196" t="s">
        <v>172</v>
      </c>
      <c r="C3" s="196"/>
      <c r="D3" s="196"/>
      <c r="E3" s="196"/>
      <c r="F3" s="73"/>
      <c r="G3" s="74" t="s">
        <v>47</v>
      </c>
      <c r="H3" s="62"/>
    </row>
    <row r="6" spans="2:12" s="66" customFormat="1" ht="24" customHeight="1" thickBot="1" x14ac:dyDescent="0.25">
      <c r="B6" s="63" t="s">
        <v>48</v>
      </c>
      <c r="C6" s="64" t="s">
        <v>49</v>
      </c>
      <c r="D6" s="65" t="s">
        <v>50</v>
      </c>
      <c r="E6" s="64" t="s">
        <v>82</v>
      </c>
      <c r="F6" s="64" t="s">
        <v>51</v>
      </c>
      <c r="G6" s="65" t="s">
        <v>83</v>
      </c>
      <c r="H6" s="65" t="s">
        <v>52</v>
      </c>
      <c r="J6" s="197" t="s">
        <v>84</v>
      </c>
      <c r="K6" s="197"/>
      <c r="L6" s="197"/>
    </row>
    <row r="7" spans="2:12" ht="21" customHeight="1" thickBot="1" x14ac:dyDescent="0.25">
      <c r="B7" s="46">
        <v>45142</v>
      </c>
      <c r="C7" s="67" t="s">
        <v>126</v>
      </c>
      <c r="D7" s="60">
        <v>22584.48</v>
      </c>
      <c r="E7" s="49" t="s">
        <v>85</v>
      </c>
      <c r="F7" s="49" t="s">
        <v>86</v>
      </c>
      <c r="G7" s="48" t="s">
        <v>87</v>
      </c>
      <c r="H7" s="60"/>
      <c r="J7" s="49" t="s">
        <v>88</v>
      </c>
      <c r="K7" s="49" t="s">
        <v>89</v>
      </c>
      <c r="L7" s="49" t="s">
        <v>90</v>
      </c>
    </row>
    <row r="8" spans="2:12" ht="21" customHeight="1" thickBot="1" x14ac:dyDescent="0.25">
      <c r="B8" s="46">
        <v>45153</v>
      </c>
      <c r="C8" s="67" t="s">
        <v>92</v>
      </c>
      <c r="D8" s="60">
        <v>700</v>
      </c>
      <c r="E8" s="49"/>
      <c r="F8" s="49" t="s">
        <v>93</v>
      </c>
      <c r="G8" s="48" t="s">
        <v>94</v>
      </c>
      <c r="H8" s="60"/>
    </row>
    <row r="9" spans="2:12" ht="21" customHeight="1" thickBot="1" x14ac:dyDescent="0.25">
      <c r="B9" s="46">
        <v>45159</v>
      </c>
      <c r="C9" s="67" t="s">
        <v>127</v>
      </c>
      <c r="D9" s="60">
        <v>500</v>
      </c>
      <c r="E9" s="49"/>
      <c r="F9" s="49"/>
      <c r="G9" s="48"/>
      <c r="H9" s="60"/>
    </row>
    <row r="10" spans="2:12" ht="21" customHeight="1" thickBot="1" x14ac:dyDescent="0.25">
      <c r="B10" s="46"/>
      <c r="C10" s="67" t="s">
        <v>128</v>
      </c>
      <c r="D10" s="60">
        <v>1500</v>
      </c>
      <c r="E10" s="49"/>
      <c r="F10" s="49"/>
      <c r="G10" s="48"/>
      <c r="H10" s="60"/>
    </row>
    <row r="11" spans="2:12" ht="21" customHeight="1" thickBot="1" x14ac:dyDescent="0.25">
      <c r="B11" s="46"/>
      <c r="C11" s="67" t="s">
        <v>95</v>
      </c>
      <c r="D11" s="60"/>
      <c r="E11" s="49" t="s">
        <v>96</v>
      </c>
      <c r="F11" s="49"/>
      <c r="G11" s="48"/>
      <c r="H11" s="60"/>
    </row>
    <row r="12" spans="2:12" ht="21" customHeight="1" thickBot="1" x14ac:dyDescent="0.25">
      <c r="B12" s="46">
        <v>45158</v>
      </c>
      <c r="C12" s="67" t="s">
        <v>97</v>
      </c>
      <c r="D12" s="60" t="s">
        <v>65</v>
      </c>
      <c r="E12" s="49"/>
      <c r="F12" s="49"/>
      <c r="G12" s="48"/>
      <c r="H12" s="60"/>
    </row>
    <row r="13" spans="2:12" ht="21" customHeight="1" thickBot="1" x14ac:dyDescent="0.25">
      <c r="B13" s="46"/>
      <c r="C13" s="67" t="s">
        <v>98</v>
      </c>
      <c r="D13" s="60"/>
      <c r="E13" s="49"/>
      <c r="F13" s="49"/>
      <c r="G13" s="48"/>
      <c r="H13" s="60"/>
    </row>
    <row r="14" spans="2:12" ht="21" customHeight="1" thickBot="1" x14ac:dyDescent="0.25">
      <c r="B14" s="46">
        <v>45158</v>
      </c>
      <c r="C14" s="67" t="s">
        <v>99</v>
      </c>
      <c r="D14" s="60" t="s">
        <v>65</v>
      </c>
      <c r="E14" s="49"/>
      <c r="F14" s="49"/>
      <c r="G14" s="48"/>
      <c r="H14" s="60"/>
    </row>
    <row r="15" spans="2:12" ht="21" customHeight="1" thickBot="1" x14ac:dyDescent="0.25">
      <c r="B15" s="46"/>
      <c r="C15" s="67" t="s">
        <v>100</v>
      </c>
      <c r="D15" s="60"/>
      <c r="E15" s="49"/>
      <c r="F15" s="49"/>
      <c r="G15" s="48"/>
      <c r="H15" s="60"/>
    </row>
    <row r="16" spans="2:12" ht="21" customHeight="1" thickBot="1" x14ac:dyDescent="0.25">
      <c r="B16" s="46"/>
      <c r="C16" s="67" t="s">
        <v>101</v>
      </c>
      <c r="D16" s="60">
        <v>1500</v>
      </c>
      <c r="E16" s="49"/>
      <c r="F16" s="49"/>
      <c r="G16" s="48"/>
      <c r="H16" s="60"/>
    </row>
    <row r="17" spans="1:8" ht="21" customHeight="1" thickBot="1" x14ac:dyDescent="0.25">
      <c r="B17" s="46"/>
      <c r="C17" s="67"/>
      <c r="D17" s="60"/>
      <c r="E17" s="49"/>
      <c r="F17" s="49"/>
      <c r="G17" s="48"/>
      <c r="H17" s="60"/>
    </row>
    <row r="21" spans="1:8" ht="31" x14ac:dyDescent="0.35">
      <c r="A21" s="52"/>
      <c r="B21" s="196" t="s">
        <v>173</v>
      </c>
      <c r="C21" s="196"/>
      <c r="D21" s="196"/>
      <c r="E21" s="196"/>
      <c r="F21" s="50"/>
      <c r="G21" s="50"/>
    </row>
    <row r="22" spans="1:8" x14ac:dyDescent="0.2">
      <c r="A22" s="52"/>
      <c r="B22" s="52"/>
      <c r="C22" s="53"/>
      <c r="D22" s="50"/>
      <c r="E22" s="50"/>
      <c r="F22" s="50"/>
      <c r="G22" s="50"/>
    </row>
    <row r="23" spans="1:8" ht="17" thickBot="1" x14ac:dyDescent="0.25">
      <c r="A23" s="52"/>
      <c r="B23" s="63" t="s">
        <v>48</v>
      </c>
      <c r="C23" s="64" t="s">
        <v>49</v>
      </c>
      <c r="D23" s="65" t="s">
        <v>50</v>
      </c>
      <c r="E23" s="64" t="s">
        <v>82</v>
      </c>
      <c r="F23" s="64" t="s">
        <v>51</v>
      </c>
      <c r="G23" s="65" t="s">
        <v>83</v>
      </c>
      <c r="H23" s="65" t="s">
        <v>52</v>
      </c>
    </row>
    <row r="24" spans="1:8" ht="17" thickBot="1" x14ac:dyDescent="0.25">
      <c r="A24" s="52"/>
      <c r="B24" s="46">
        <v>45160</v>
      </c>
      <c r="C24" s="130" t="s">
        <v>174</v>
      </c>
      <c r="D24" s="60">
        <v>170</v>
      </c>
      <c r="E24" s="49"/>
      <c r="F24" s="131" t="s">
        <v>175</v>
      </c>
      <c r="G24" s="48"/>
      <c r="H24" s="132" t="s">
        <v>13</v>
      </c>
    </row>
    <row r="25" spans="1:8" ht="17" thickBot="1" x14ac:dyDescent="0.25">
      <c r="A25" s="52"/>
      <c r="B25" s="46"/>
      <c r="C25" s="67"/>
      <c r="D25" s="60"/>
      <c r="E25" s="49"/>
      <c r="F25" s="49"/>
      <c r="G25" s="48"/>
      <c r="H25" s="60"/>
    </row>
    <row r="26" spans="1:8" ht="17" thickBot="1" x14ac:dyDescent="0.25">
      <c r="B26" s="46"/>
      <c r="C26" s="67"/>
      <c r="D26" s="60"/>
      <c r="E26" s="49"/>
      <c r="F26" s="49"/>
      <c r="G26" s="48"/>
      <c r="H26" s="60"/>
    </row>
    <row r="27" spans="1:8" ht="17" thickBot="1" x14ac:dyDescent="0.25">
      <c r="B27" s="46"/>
      <c r="C27" s="67"/>
      <c r="D27" s="60"/>
      <c r="E27" s="49"/>
      <c r="F27" s="49"/>
      <c r="G27" s="48"/>
      <c r="H27" s="60"/>
    </row>
    <row r="28" spans="1:8" ht="17" thickBot="1" x14ac:dyDescent="0.25">
      <c r="B28" s="46"/>
      <c r="C28" s="67"/>
      <c r="D28" s="60"/>
      <c r="E28" s="49"/>
      <c r="F28" s="49"/>
      <c r="G28" s="48"/>
      <c r="H28" s="60"/>
    </row>
    <row r="29" spans="1:8" ht="17" thickBot="1" x14ac:dyDescent="0.25">
      <c r="B29" s="46"/>
      <c r="C29" s="67"/>
      <c r="D29" s="60"/>
      <c r="E29" s="49"/>
      <c r="F29" s="49"/>
      <c r="G29" s="48"/>
      <c r="H29" s="60"/>
    </row>
    <row r="30" spans="1:8" ht="17" thickBot="1" x14ac:dyDescent="0.25">
      <c r="B30" s="46"/>
      <c r="C30" s="67"/>
      <c r="D30" s="60"/>
      <c r="E30" s="49"/>
      <c r="F30" s="49"/>
      <c r="G30" s="48"/>
      <c r="H30" s="60"/>
    </row>
    <row r="31" spans="1:8" ht="17" thickBot="1" x14ac:dyDescent="0.25">
      <c r="B31" s="46"/>
      <c r="C31" s="67"/>
      <c r="D31" s="60"/>
      <c r="E31" s="49"/>
      <c r="F31" s="49"/>
      <c r="G31" s="48"/>
      <c r="H31" s="60"/>
    </row>
    <row r="32" spans="1:8" ht="17" thickBot="1" x14ac:dyDescent="0.25">
      <c r="B32" s="46"/>
      <c r="C32" s="67"/>
      <c r="D32" s="60"/>
      <c r="E32" s="49"/>
      <c r="F32" s="49"/>
      <c r="G32" s="48"/>
      <c r="H32" s="60"/>
    </row>
    <row r="33" spans="2:8" ht="17" thickBot="1" x14ac:dyDescent="0.25">
      <c r="B33" s="46"/>
      <c r="C33" s="67"/>
      <c r="D33" s="60"/>
      <c r="E33" s="49"/>
      <c r="F33" s="49"/>
      <c r="G33" s="48"/>
      <c r="H33" s="60"/>
    </row>
    <row r="34" spans="2:8" ht="17" thickBot="1" x14ac:dyDescent="0.25">
      <c r="B34" s="46"/>
      <c r="C34" s="67"/>
      <c r="D34" s="60"/>
      <c r="E34" s="49"/>
      <c r="F34" s="49"/>
      <c r="G34" s="48"/>
      <c r="H34" s="60"/>
    </row>
  </sheetData>
  <mergeCells count="3">
    <mergeCell ref="B3:E3"/>
    <mergeCell ref="J6:L6"/>
    <mergeCell ref="B21:E21"/>
  </mergeCells>
  <hyperlinks>
    <hyperlink ref="L7" r:id="rId1" xr:uid="{E0CD351A-38ED-FD44-93A5-3A48160F2937}"/>
  </hyperlink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0BEF-7E12-BB4B-90A8-2B69043957FC}">
  <sheetPr>
    <tabColor theme="3"/>
  </sheetPr>
  <dimension ref="A1:O29"/>
  <sheetViews>
    <sheetView showGridLines="0" workbookViewId="0">
      <selection activeCell="B23" sqref="B23"/>
    </sheetView>
  </sheetViews>
  <sheetFormatPr baseColWidth="10" defaultRowHeight="19" x14ac:dyDescent="0.25"/>
  <cols>
    <col min="1" max="1" width="49" style="45" bestFit="1" customWidth="1"/>
    <col min="2" max="2" width="15.5" style="72" customWidth="1"/>
    <col min="3" max="3" width="17.6640625" style="72" customWidth="1"/>
    <col min="4" max="4" width="18.6640625" style="71" customWidth="1"/>
    <col min="5" max="5" width="19.33203125" style="71" customWidth="1"/>
    <col min="6" max="6" width="19.1640625" style="71" customWidth="1"/>
    <col min="7" max="7" width="20.33203125" style="71" customWidth="1"/>
    <col min="8" max="8" width="6.6640625" style="45" customWidth="1"/>
    <col min="9" max="9" width="40.83203125" style="45" bestFit="1" customWidth="1"/>
    <col min="10" max="11" width="18.5" style="45" bestFit="1" customWidth="1"/>
    <col min="12" max="12" width="14.1640625" style="45" bestFit="1" customWidth="1"/>
    <col min="13" max="13" width="17.6640625" style="45" bestFit="1" customWidth="1"/>
    <col min="14" max="14" width="15.5" style="45" bestFit="1" customWidth="1"/>
    <col min="15" max="15" width="17" style="45" customWidth="1"/>
    <col min="16" max="16384" width="10.83203125" style="45"/>
  </cols>
  <sheetData>
    <row r="1" spans="1:15" ht="20" thickBot="1" x14ac:dyDescent="0.3"/>
    <row r="2" spans="1:15" ht="48" customHeight="1" thickBot="1" x14ac:dyDescent="0.3">
      <c r="A2" s="198" t="s">
        <v>102</v>
      </c>
      <c r="B2" s="199"/>
      <c r="C2" s="199"/>
      <c r="D2" s="199"/>
      <c r="E2" s="199"/>
      <c r="F2" s="199"/>
      <c r="G2" s="200"/>
      <c r="I2" s="198" t="s">
        <v>103</v>
      </c>
      <c r="J2" s="199"/>
      <c r="K2" s="199"/>
      <c r="L2" s="199"/>
      <c r="M2" s="199"/>
      <c r="N2" s="199"/>
      <c r="O2" s="200"/>
    </row>
    <row r="3" spans="1:15" x14ac:dyDescent="0.25">
      <c r="C3" s="75" t="s">
        <v>104</v>
      </c>
      <c r="D3" s="75" t="s">
        <v>104</v>
      </c>
      <c r="E3" s="75" t="s">
        <v>104</v>
      </c>
      <c r="F3" s="75" t="s">
        <v>104</v>
      </c>
      <c r="J3" s="75"/>
      <c r="K3" s="75" t="s">
        <v>104</v>
      </c>
      <c r="L3" s="75" t="s">
        <v>104</v>
      </c>
      <c r="M3" s="75" t="s">
        <v>104</v>
      </c>
      <c r="N3" s="75" t="s">
        <v>104</v>
      </c>
      <c r="O3" s="71"/>
    </row>
    <row r="4" spans="1:15" ht="20" thickBot="1" x14ac:dyDescent="0.3">
      <c r="A4" s="58"/>
      <c r="B4" s="59" t="s">
        <v>105</v>
      </c>
      <c r="C4" s="59" t="s">
        <v>106</v>
      </c>
      <c r="D4" s="59" t="s">
        <v>107</v>
      </c>
      <c r="E4" s="59" t="s">
        <v>108</v>
      </c>
      <c r="F4" s="59" t="s">
        <v>109</v>
      </c>
      <c r="G4" s="59" t="s">
        <v>110</v>
      </c>
      <c r="I4" s="58"/>
      <c r="J4" s="59" t="s">
        <v>105</v>
      </c>
      <c r="K4" s="59" t="s">
        <v>106</v>
      </c>
      <c r="L4" s="59" t="s">
        <v>107</v>
      </c>
      <c r="M4" s="59" t="s">
        <v>108</v>
      </c>
      <c r="N4" s="59" t="s">
        <v>109</v>
      </c>
      <c r="O4" s="59" t="s">
        <v>110</v>
      </c>
    </row>
    <row r="5" spans="1:15" ht="20" thickBot="1" x14ac:dyDescent="0.3">
      <c r="A5" s="76" t="s">
        <v>126</v>
      </c>
      <c r="B5" s="77">
        <v>22584.48</v>
      </c>
      <c r="C5" s="78"/>
      <c r="D5" s="70"/>
      <c r="E5" s="70"/>
      <c r="F5" s="70"/>
      <c r="G5" s="69"/>
      <c r="I5" s="76" t="s">
        <v>53</v>
      </c>
      <c r="J5" s="69">
        <v>3300</v>
      </c>
      <c r="K5" s="69"/>
      <c r="L5" s="70"/>
      <c r="M5" s="70"/>
      <c r="N5" s="70"/>
      <c r="O5" s="69"/>
    </row>
    <row r="6" spans="1:15" ht="20" thickBot="1" x14ac:dyDescent="0.3">
      <c r="A6" s="76" t="s">
        <v>137</v>
      </c>
      <c r="B6" s="77" t="s">
        <v>65</v>
      </c>
      <c r="C6" s="78">
        <f>200*20</f>
        <v>4000</v>
      </c>
      <c r="D6" s="70"/>
      <c r="E6" s="70"/>
      <c r="F6" s="70"/>
      <c r="G6" s="69">
        <f>SUM(B6:F6)</f>
        <v>4000</v>
      </c>
      <c r="I6" s="76" t="s">
        <v>55</v>
      </c>
      <c r="J6" s="69">
        <v>1000</v>
      </c>
      <c r="K6" s="69"/>
      <c r="L6" s="70"/>
      <c r="M6" s="70"/>
      <c r="N6" s="70"/>
      <c r="O6" s="69"/>
    </row>
    <row r="7" spans="1:15" ht="20" thickBot="1" x14ac:dyDescent="0.3">
      <c r="A7" s="76" t="s">
        <v>120</v>
      </c>
      <c r="B7" s="77">
        <v>2200</v>
      </c>
      <c r="C7" s="78">
        <v>2200</v>
      </c>
      <c r="D7" s="70"/>
      <c r="E7" s="70"/>
      <c r="F7" s="70"/>
      <c r="G7" s="69">
        <f t="shared" ref="G7:G17" si="0">SUM(B7:F7)</f>
        <v>4400</v>
      </c>
      <c r="I7" s="76" t="s">
        <v>111</v>
      </c>
      <c r="J7" s="69">
        <v>3400</v>
      </c>
      <c r="K7" s="69"/>
      <c r="L7" s="70"/>
      <c r="M7" s="70"/>
      <c r="N7" s="70"/>
      <c r="O7" s="69"/>
    </row>
    <row r="8" spans="1:15" ht="20" thickBot="1" x14ac:dyDescent="0.3">
      <c r="A8" s="76" t="s">
        <v>95</v>
      </c>
      <c r="B8" s="77">
        <f>2760</f>
        <v>2760</v>
      </c>
      <c r="C8" s="78">
        <f>180*17</f>
        <v>3060</v>
      </c>
      <c r="D8" s="70"/>
      <c r="E8" s="70"/>
      <c r="F8" s="70"/>
      <c r="G8" s="69">
        <f t="shared" si="0"/>
        <v>5820</v>
      </c>
      <c r="I8" s="76" t="s">
        <v>59</v>
      </c>
      <c r="J8" s="69">
        <v>500</v>
      </c>
      <c r="K8" s="69"/>
      <c r="L8" s="70"/>
      <c r="M8" s="70"/>
      <c r="N8" s="70"/>
      <c r="O8" s="69"/>
    </row>
    <row r="9" spans="1:15" ht="20" thickBot="1" x14ac:dyDescent="0.3">
      <c r="A9" s="76" t="s">
        <v>121</v>
      </c>
      <c r="B9" s="77">
        <v>8000</v>
      </c>
      <c r="C9" s="78">
        <v>8000</v>
      </c>
      <c r="D9" s="70"/>
      <c r="E9" s="70"/>
      <c r="F9" s="70"/>
      <c r="G9" s="69">
        <f t="shared" si="0"/>
        <v>16000</v>
      </c>
      <c r="I9" s="76" t="s">
        <v>112</v>
      </c>
      <c r="J9" s="69">
        <v>1000</v>
      </c>
      <c r="K9" s="69"/>
      <c r="L9" s="70"/>
      <c r="M9" s="70"/>
      <c r="N9" s="70"/>
      <c r="O9" s="69"/>
    </row>
    <row r="10" spans="1:15" ht="20" thickBot="1" x14ac:dyDescent="0.3">
      <c r="A10" s="76" t="s">
        <v>98</v>
      </c>
      <c r="B10" s="77">
        <v>1522</v>
      </c>
      <c r="C10" s="78">
        <v>1522</v>
      </c>
      <c r="D10" s="70"/>
      <c r="E10" s="70"/>
      <c r="F10" s="70"/>
      <c r="G10" s="69">
        <f t="shared" si="0"/>
        <v>3044</v>
      </c>
      <c r="I10" s="76" t="s">
        <v>113</v>
      </c>
      <c r="J10" s="69">
        <f>170+170</f>
        <v>340</v>
      </c>
      <c r="K10" s="69"/>
      <c r="L10" s="70"/>
      <c r="M10" s="70"/>
      <c r="N10" s="70"/>
      <c r="O10" s="69"/>
    </row>
    <row r="11" spans="1:15" ht="20" thickBot="1" x14ac:dyDescent="0.3">
      <c r="A11" s="76" t="s">
        <v>138</v>
      </c>
      <c r="B11" s="77">
        <v>484.39</v>
      </c>
      <c r="C11" s="78">
        <v>484.39</v>
      </c>
      <c r="D11" s="70"/>
      <c r="E11" s="70"/>
      <c r="F11" s="70"/>
      <c r="G11" s="69">
        <f t="shared" si="0"/>
        <v>968.78</v>
      </c>
      <c r="I11" s="76" t="s">
        <v>91</v>
      </c>
      <c r="J11" s="69">
        <f>1380+200</f>
        <v>1580</v>
      </c>
      <c r="K11" s="79">
        <v>1380</v>
      </c>
      <c r="L11" s="70"/>
      <c r="M11" s="70"/>
      <c r="N11" s="70"/>
      <c r="O11" s="69">
        <f t="shared" ref="O11" si="1">SUM(J11:N11)</f>
        <v>2960</v>
      </c>
    </row>
    <row r="12" spans="1:15" ht="20" thickBot="1" x14ac:dyDescent="0.3">
      <c r="A12" s="76" t="s">
        <v>139</v>
      </c>
      <c r="B12" s="77">
        <v>3500</v>
      </c>
      <c r="C12" s="78">
        <v>3500</v>
      </c>
      <c r="D12" s="70"/>
      <c r="E12" s="70"/>
      <c r="F12" s="70"/>
      <c r="G12" s="69">
        <f t="shared" si="0"/>
        <v>7000</v>
      </c>
      <c r="I12" s="76" t="s">
        <v>114</v>
      </c>
      <c r="J12" s="69">
        <v>1300</v>
      </c>
      <c r="K12" s="79"/>
      <c r="L12" s="70"/>
      <c r="M12" s="70"/>
      <c r="N12" s="70"/>
      <c r="O12" s="69"/>
    </row>
    <row r="13" spans="1:15" ht="20" thickBot="1" x14ac:dyDescent="0.3">
      <c r="A13" s="76" t="s">
        <v>92</v>
      </c>
      <c r="B13" s="77">
        <v>700</v>
      </c>
      <c r="C13" s="78" t="s">
        <v>65</v>
      </c>
      <c r="D13" s="70"/>
      <c r="E13" s="70"/>
      <c r="F13" s="70"/>
      <c r="G13" s="69">
        <f t="shared" si="0"/>
        <v>700</v>
      </c>
      <c r="I13" s="76" t="s">
        <v>115</v>
      </c>
      <c r="J13" s="69">
        <v>2500</v>
      </c>
      <c r="K13" s="69"/>
      <c r="L13" s="70"/>
      <c r="M13" s="70"/>
      <c r="N13" s="70"/>
      <c r="O13" s="69"/>
    </row>
    <row r="14" spans="1:15" ht="20" thickBot="1" x14ac:dyDescent="0.3">
      <c r="A14" s="76" t="s">
        <v>140</v>
      </c>
      <c r="B14" s="77">
        <f>500+1500</f>
        <v>2000</v>
      </c>
      <c r="C14" s="78"/>
      <c r="D14" s="70"/>
      <c r="E14" s="70"/>
      <c r="F14" s="70"/>
      <c r="G14" s="69"/>
      <c r="I14" s="61" t="s">
        <v>116</v>
      </c>
      <c r="J14" s="80">
        <f t="shared" ref="J14:O14" si="2">SUM(J5:J13)</f>
        <v>14920</v>
      </c>
      <c r="K14" s="80">
        <f t="shared" si="2"/>
        <v>1380</v>
      </c>
      <c r="L14" s="80">
        <f t="shared" si="2"/>
        <v>0</v>
      </c>
      <c r="M14" s="80">
        <f t="shared" si="2"/>
        <v>0</v>
      </c>
      <c r="N14" s="80">
        <f t="shared" si="2"/>
        <v>0</v>
      </c>
      <c r="O14" s="80">
        <f t="shared" si="2"/>
        <v>2960</v>
      </c>
    </row>
    <row r="15" spans="1:15" ht="20" thickBot="1" x14ac:dyDescent="0.3">
      <c r="A15" s="76" t="s">
        <v>122</v>
      </c>
      <c r="B15" s="77"/>
      <c r="C15" s="78"/>
      <c r="D15" s="70"/>
      <c r="E15" s="70"/>
      <c r="F15" s="70"/>
      <c r="G15" s="69">
        <f t="shared" si="0"/>
        <v>0</v>
      </c>
      <c r="I15" s="81" t="s">
        <v>117</v>
      </c>
      <c r="J15" s="75"/>
      <c r="K15" s="75" t="s">
        <v>104</v>
      </c>
      <c r="L15" s="75" t="s">
        <v>104</v>
      </c>
      <c r="M15" s="75" t="s">
        <v>104</v>
      </c>
      <c r="N15" s="75" t="s">
        <v>104</v>
      </c>
      <c r="O15" s="71"/>
    </row>
    <row r="16" spans="1:15" ht="20" thickBot="1" x14ac:dyDescent="0.3">
      <c r="A16" s="76" t="s">
        <v>101</v>
      </c>
      <c r="B16" s="77">
        <v>1500</v>
      </c>
      <c r="C16" s="78">
        <v>1500</v>
      </c>
      <c r="D16" s="70"/>
      <c r="E16" s="70"/>
      <c r="F16" s="70"/>
      <c r="G16" s="69">
        <f t="shared" si="0"/>
        <v>3000</v>
      </c>
      <c r="I16" s="82" t="s">
        <v>117</v>
      </c>
      <c r="J16" s="59" t="s">
        <v>105</v>
      </c>
      <c r="K16" s="59" t="s">
        <v>106</v>
      </c>
      <c r="L16" s="59" t="s">
        <v>107</v>
      </c>
      <c r="M16" s="59" t="s">
        <v>108</v>
      </c>
      <c r="N16" s="59" t="s">
        <v>109</v>
      </c>
      <c r="O16" s="59" t="s">
        <v>110</v>
      </c>
    </row>
    <row r="17" spans="1:15" ht="20" thickBot="1" x14ac:dyDescent="0.3">
      <c r="A17" s="76" t="s">
        <v>123</v>
      </c>
      <c r="B17" s="77">
        <v>17000</v>
      </c>
      <c r="C17" s="78">
        <v>14000</v>
      </c>
      <c r="D17" s="70"/>
      <c r="E17" s="70"/>
      <c r="F17" s="70"/>
      <c r="G17" s="69">
        <f t="shared" si="0"/>
        <v>31000</v>
      </c>
      <c r="I17" s="76" t="s">
        <v>70</v>
      </c>
      <c r="J17" s="69">
        <v>63200</v>
      </c>
      <c r="K17" s="79">
        <v>70000</v>
      </c>
      <c r="L17" s="70"/>
      <c r="M17" s="70"/>
      <c r="N17" s="70"/>
      <c r="O17" s="69"/>
    </row>
    <row r="18" spans="1:15" ht="20" thickBot="1" x14ac:dyDescent="0.3">
      <c r="A18" s="85"/>
      <c r="B18" s="86"/>
      <c r="C18" s="86"/>
      <c r="D18" s="86"/>
      <c r="E18" s="86"/>
      <c r="F18" s="86"/>
      <c r="G18" s="87"/>
      <c r="I18" s="76" t="s">
        <v>118</v>
      </c>
      <c r="J18" s="69">
        <v>406</v>
      </c>
      <c r="K18" s="79">
        <v>19200</v>
      </c>
      <c r="L18" s="70"/>
      <c r="M18" s="70"/>
      <c r="N18" s="70"/>
      <c r="O18" s="69"/>
    </row>
    <row r="19" spans="1:15" ht="20" thickBot="1" x14ac:dyDescent="0.3">
      <c r="A19" s="61" t="s">
        <v>116</v>
      </c>
      <c r="B19" s="88">
        <f t="shared" ref="B19:G19" si="3">SUM(B6:B18)</f>
        <v>39666.39</v>
      </c>
      <c r="C19" s="88">
        <f t="shared" si="3"/>
        <v>38266.39</v>
      </c>
      <c r="D19" s="80">
        <f t="shared" si="3"/>
        <v>0</v>
      </c>
      <c r="E19" s="80">
        <f t="shared" si="3"/>
        <v>0</v>
      </c>
      <c r="F19" s="80">
        <f t="shared" si="3"/>
        <v>0</v>
      </c>
      <c r="G19" s="80">
        <f t="shared" si="3"/>
        <v>75932.78</v>
      </c>
      <c r="I19" s="76" t="s">
        <v>119</v>
      </c>
      <c r="J19" s="83">
        <v>6100</v>
      </c>
      <c r="K19" s="83">
        <v>9000</v>
      </c>
      <c r="L19" s="84"/>
      <c r="M19" s="84"/>
      <c r="N19" s="84"/>
      <c r="O19" s="83"/>
    </row>
    <row r="20" spans="1:15" ht="20" thickBot="1" x14ac:dyDescent="0.3">
      <c r="I20" s="76" t="s">
        <v>76</v>
      </c>
      <c r="J20" s="83">
        <v>45000</v>
      </c>
      <c r="K20" s="83">
        <v>45000</v>
      </c>
      <c r="L20" s="84"/>
      <c r="M20" s="84"/>
      <c r="N20" s="84"/>
      <c r="O20" s="83"/>
    </row>
    <row r="21" spans="1:15" ht="20" thickBot="1" x14ac:dyDescent="0.3">
      <c r="I21" s="76" t="s">
        <v>77</v>
      </c>
      <c r="J21" s="69">
        <v>1200</v>
      </c>
      <c r="K21" s="79"/>
      <c r="L21" s="70"/>
      <c r="M21" s="70"/>
      <c r="N21" s="70"/>
      <c r="O21" s="69"/>
    </row>
    <row r="22" spans="1:15" ht="20" thickBot="1" x14ac:dyDescent="0.3">
      <c r="I22" s="76" t="s">
        <v>78</v>
      </c>
      <c r="J22" s="69">
        <v>16964</v>
      </c>
      <c r="K22" s="79"/>
      <c r="L22" s="70"/>
      <c r="M22" s="70"/>
      <c r="N22" s="70"/>
      <c r="O22" s="69"/>
    </row>
    <row r="23" spans="1:15" ht="20" thickBot="1" x14ac:dyDescent="0.3">
      <c r="I23" s="76"/>
      <c r="J23" s="69"/>
      <c r="K23" s="79"/>
      <c r="L23" s="70"/>
      <c r="M23" s="70"/>
      <c r="N23" s="70"/>
      <c r="O23" s="69"/>
    </row>
    <row r="24" spans="1:15" ht="20" thickBot="1" x14ac:dyDescent="0.3">
      <c r="I24" s="76"/>
      <c r="J24" s="69"/>
      <c r="K24" s="79"/>
      <c r="L24" s="70"/>
      <c r="M24" s="70"/>
      <c r="N24" s="70"/>
      <c r="O24" s="69"/>
    </row>
    <row r="25" spans="1:15" ht="20" thickBot="1" x14ac:dyDescent="0.3">
      <c r="I25" s="76"/>
      <c r="J25" s="69"/>
      <c r="K25" s="79"/>
      <c r="L25" s="70"/>
      <c r="M25" s="70"/>
      <c r="N25" s="70"/>
      <c r="O25" s="69"/>
    </row>
    <row r="26" spans="1:15" ht="20" thickBot="1" x14ac:dyDescent="0.3">
      <c r="I26" s="76"/>
      <c r="J26" s="69"/>
      <c r="K26" s="79"/>
      <c r="L26" s="70"/>
      <c r="M26" s="70"/>
      <c r="N26" s="70"/>
      <c r="O26" s="69"/>
    </row>
    <row r="27" spans="1:15" ht="20" thickBot="1" x14ac:dyDescent="0.3">
      <c r="I27" s="76"/>
      <c r="J27" s="69"/>
      <c r="K27" s="79"/>
      <c r="L27" s="70"/>
      <c r="M27" s="70"/>
      <c r="N27" s="70"/>
      <c r="O27" s="69"/>
    </row>
    <row r="28" spans="1:15" ht="20" thickBot="1" x14ac:dyDescent="0.3">
      <c r="I28" s="76"/>
      <c r="J28" s="69"/>
      <c r="K28" s="79"/>
      <c r="L28" s="70"/>
      <c r="M28" s="70"/>
      <c r="N28" s="70"/>
      <c r="O28" s="69"/>
    </row>
    <row r="29" spans="1:15" ht="20" thickBot="1" x14ac:dyDescent="0.3">
      <c r="I29" s="61" t="s">
        <v>116</v>
      </c>
      <c r="J29" s="80">
        <f>SUM(J17:J28)</f>
        <v>132870</v>
      </c>
      <c r="K29" s="80">
        <f>SUM(K5:K28)</f>
        <v>145960</v>
      </c>
      <c r="L29" s="80">
        <f>SUM(L5:L28)</f>
        <v>0</v>
      </c>
      <c r="M29" s="80">
        <f>SUM(M5:M28)</f>
        <v>0</v>
      </c>
      <c r="N29" s="80">
        <f>SUM(N5:N28)</f>
        <v>0</v>
      </c>
      <c r="O29" s="80">
        <f>SUM(O5:O28)</f>
        <v>5920</v>
      </c>
    </row>
  </sheetData>
  <mergeCells count="2">
    <mergeCell ref="A2:G2"/>
    <mergeCell ref="I2:O2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TM02802345</Templat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INICIO</vt:lpstr>
      <vt:lpstr>1.BAIXA CONTRATOS</vt:lpstr>
      <vt:lpstr>2.BAIXA NOTAS (2)</vt:lpstr>
      <vt:lpstr>TOTAL EM ABERTO CLIENTES (nf)</vt:lpstr>
      <vt:lpstr>3.DOC CLIENTES (NOTAS)</vt:lpstr>
      <vt:lpstr>BASES</vt:lpstr>
      <vt:lpstr>4.Contas PESSOAIS</vt:lpstr>
      <vt:lpstr>5.Contas SMARTH</vt:lpstr>
      <vt:lpstr>6.BALANÇO MENSAL</vt:lpstr>
      <vt:lpstr>'2.BAIXA NOTAS (2)'!RoomList</vt:lpstr>
      <vt:lpstr>RoomList</vt:lpstr>
      <vt:lpstr>'2.BAIXA NOTAS (2)'!TítuloDaColuna1</vt:lpstr>
      <vt:lpstr>TítuloDaColuna1</vt:lpstr>
      <vt:lpstr>'2.BAIXA NOTAS (2)'!TítuloDaColuna2</vt:lpstr>
      <vt:lpstr>TítuloDaColuna2</vt:lpstr>
      <vt:lpstr>'1.BAIXA CONTRATOS'!Titulos_de_impressao</vt:lpstr>
      <vt:lpstr>BASES!Titulos_de_impressao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Samsung</dc:creator>
  <cp:lastModifiedBy>Smart Tech</cp:lastModifiedBy>
  <cp:lastPrinted>2023-09-27T19:00:12Z</cp:lastPrinted>
  <dcterms:created xsi:type="dcterms:W3CDTF">2017-07-30T14:13:04Z</dcterms:created>
  <dcterms:modified xsi:type="dcterms:W3CDTF">2023-10-06T12:30:44Z</dcterms:modified>
</cp:coreProperties>
</file>